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66925"/>
  <mc:AlternateContent xmlns:mc="http://schemas.openxmlformats.org/markup-compatibility/2006">
    <mc:Choice Requires="x15">
      <x15ac:absPath xmlns:x15ac="http://schemas.microsoft.com/office/spreadsheetml/2010/11/ac" url="D:\My Files\Documents\"/>
    </mc:Choice>
  </mc:AlternateContent>
  <xr:revisionPtr revIDLastSave="0" documentId="13_ncr:1_{20611B6E-59B1-4CBE-B8E7-FC292E99AD7F}" xr6:coauthVersionLast="47" xr6:coauthVersionMax="47" xr10:uidLastSave="{00000000-0000-0000-0000-000000000000}"/>
  <workbookProtection workbookAlgorithmName="SHA-512" workbookHashValue="CUKnaFW1r/ZAYgLt7FskJwgoPw3AFOkRwehOFAoY4pEqTV173tUt26ajSqE70QDYwSDVeIqnqK9YsDwiJP45Fg==" workbookSaltValue="xRp+rRYSmY6tgEAImXcELg==" workbookSpinCount="100000" lockStructure="1"/>
  <bookViews>
    <workbookView xWindow="-120" yWindow="-120" windowWidth="20730" windowHeight="11040" xr2:uid="{C3578562-12EE-4D20-8956-809618BDC0F1}"/>
  </bookViews>
  <sheets>
    <sheet name="مدیریت" sheetId="10" r:id="rId1"/>
    <sheet name="واریزی‌ها" sheetId="8" r:id="rId2"/>
    <sheet name="هزینه‌ها" sheetId="5" r:id="rId3"/>
    <sheet name="آب‌بها" sheetId="4" r:id="rId4"/>
    <sheet name="عملکرد سالانه" sheetId="9" r:id="rId5"/>
    <sheet name="مشخصات واحدها" sheetId="2" r:id="rId6"/>
    <sheet name="درباره‌ی ما" sheetId="11" r:id="rId7"/>
    <sheet name="پارامترها" sheetId="3" state="hidden"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 i="4" l="1"/>
  <c r="I6" i="4" l="1"/>
  <c r="B17" i="4"/>
  <c r="B18" i="4"/>
  <c r="B19" i="4"/>
  <c r="B20" i="4"/>
  <c r="B16" i="4"/>
  <c r="D13" i="10"/>
  <c r="D14" i="10"/>
  <c r="D15" i="10"/>
  <c r="D16" i="10"/>
  <c r="D12" i="10"/>
  <c r="C12" i="10"/>
  <c r="C17" i="4"/>
  <c r="C18" i="4"/>
  <c r="C19" i="4"/>
  <c r="C20" i="4"/>
  <c r="D17" i="4"/>
  <c r="D18" i="4"/>
  <c r="D19" i="4"/>
  <c r="D20" i="4"/>
  <c r="D16" i="4"/>
  <c r="C13" i="10"/>
  <c r="C14" i="10"/>
  <c r="C15" i="10"/>
  <c r="C16" i="10"/>
  <c r="A6" i="2"/>
  <c r="K17" i="4"/>
  <c r="B13" i="10"/>
  <c r="B14" i="10"/>
  <c r="B15" i="10"/>
  <c r="B16" i="10"/>
  <c r="B12" i="10"/>
  <c r="K20" i="4" l="1"/>
  <c r="K16" i="4"/>
  <c r="K18" i="4"/>
  <c r="K19" i="4"/>
  <c r="N11" i="4"/>
  <c r="K11" i="4"/>
  <c r="H11" i="4"/>
  <c r="E11" i="4"/>
  <c r="J17" i="4"/>
  <c r="J18" i="4"/>
  <c r="J19" i="4"/>
  <c r="J20" i="4"/>
  <c r="J16" i="4"/>
  <c r="B7" i="8"/>
  <c r="B8" i="8"/>
  <c r="B9" i="8"/>
  <c r="B10" i="8"/>
  <c r="B11" i="8"/>
  <c r="B12" i="8"/>
  <c r="B13" i="8"/>
  <c r="B14" i="8"/>
  <c r="B15" i="8"/>
  <c r="B16" i="8"/>
  <c r="B17" i="8"/>
  <c r="B18" i="8"/>
  <c r="B19" i="8"/>
  <c r="B20" i="8"/>
  <c r="B21" i="8"/>
  <c r="B22" i="8"/>
  <c r="B23" i="8"/>
  <c r="B24" i="8"/>
  <c r="B25" i="8"/>
  <c r="B6" i="8"/>
  <c r="B10" i="5"/>
  <c r="B11" i="5"/>
  <c r="B12" i="5"/>
  <c r="B13" i="5"/>
  <c r="B14" i="5"/>
  <c r="B15" i="5"/>
  <c r="B16" i="5"/>
  <c r="B17" i="5"/>
  <c r="B18" i="5"/>
  <c r="B19" i="5"/>
  <c r="B20" i="5"/>
  <c r="B21" i="5"/>
  <c r="B22" i="5"/>
  <c r="B23" i="5"/>
  <c r="B24" i="5"/>
  <c r="B25" i="5"/>
  <c r="B7" i="5"/>
  <c r="B8" i="5"/>
  <c r="B9" i="5"/>
  <c r="B6" i="5"/>
  <c r="P11" i="4" l="1"/>
  <c r="L17" i="10" l="1"/>
  <c r="J13" i="10"/>
  <c r="J14" i="10"/>
  <c r="J15" i="10"/>
  <c r="J16" i="10"/>
  <c r="J12" i="10"/>
  <c r="F13" i="10"/>
  <c r="F14" i="10"/>
  <c r="F15" i="10"/>
  <c r="F16" i="10"/>
  <c r="F12" i="10"/>
  <c r="G7" i="10"/>
  <c r="A3" i="2"/>
  <c r="A4" i="2"/>
  <c r="A5" i="2"/>
  <c r="E32" i="9"/>
  <c r="E39" i="9"/>
  <c r="E38" i="9"/>
  <c r="E37" i="9"/>
  <c r="E36" i="9"/>
  <c r="E35" i="9"/>
  <c r="E34" i="9"/>
  <c r="E33" i="9"/>
  <c r="E24" i="9"/>
  <c r="E5" i="9"/>
  <c r="E28" i="9"/>
  <c r="E27" i="9"/>
  <c r="E26" i="9"/>
  <c r="E25" i="9"/>
  <c r="D16" i="9"/>
  <c r="K9" i="8"/>
  <c r="K9" i="5"/>
  <c r="E16" i="9"/>
  <c r="E15" i="9"/>
  <c r="E14" i="9"/>
  <c r="E13" i="9"/>
  <c r="E12" i="9"/>
  <c r="E11" i="9"/>
  <c r="E10" i="9"/>
  <c r="E9" i="9"/>
  <c r="E8" i="9"/>
  <c r="E7" i="9"/>
  <c r="E6" i="9"/>
  <c r="D15" i="9"/>
  <c r="D14" i="9"/>
  <c r="D13" i="9"/>
  <c r="D12" i="9"/>
  <c r="D11" i="9"/>
  <c r="D10" i="9"/>
  <c r="D9" i="9"/>
  <c r="D8" i="9"/>
  <c r="D7" i="9"/>
  <c r="D6" i="9"/>
  <c r="D5" i="9"/>
  <c r="E26" i="8"/>
  <c r="J4" i="8"/>
  <c r="E26" i="5"/>
  <c r="J4" i="5"/>
  <c r="F7" i="10" s="1"/>
  <c r="F15" i="9" l="1"/>
  <c r="K17" i="10"/>
  <c r="K20" i="10"/>
  <c r="F9" i="9"/>
  <c r="J21" i="4"/>
  <c r="F7" i="9"/>
  <c r="G17" i="10"/>
  <c r="G20" i="10"/>
  <c r="F11" i="9"/>
  <c r="F13" i="9"/>
  <c r="E40" i="9"/>
  <c r="F5" i="9"/>
  <c r="F8" i="9"/>
  <c r="F10" i="9"/>
  <c r="F12" i="9"/>
  <c r="F14" i="9"/>
  <c r="F16" i="9"/>
  <c r="E29" i="9"/>
  <c r="F6" i="9"/>
  <c r="E17" i="9"/>
  <c r="D17" i="9"/>
  <c r="O6" i="4"/>
  <c r="C16" i="4"/>
  <c r="L17" i="4" l="1"/>
  <c r="M17" i="4" s="1"/>
  <c r="L20" i="4"/>
  <c r="M20" i="4" s="1"/>
  <c r="L19" i="4"/>
  <c r="M19" i="4" s="1"/>
  <c r="L18" i="4"/>
  <c r="M18" i="4" s="1"/>
  <c r="L16" i="4"/>
  <c r="M16" i="4" s="1"/>
  <c r="N17" i="4"/>
  <c r="N20" i="4"/>
  <c r="N19" i="4"/>
  <c r="N16" i="4"/>
  <c r="N18" i="4"/>
  <c r="K21" i="4"/>
  <c r="F17" i="9"/>
  <c r="A2" i="2"/>
  <c r="O19" i="4" l="1"/>
  <c r="P19" i="4" s="1"/>
  <c r="H15" i="10" s="1"/>
  <c r="M15" i="10" s="1"/>
  <c r="O20" i="4"/>
  <c r="P20" i="4" s="1"/>
  <c r="O17" i="4"/>
  <c r="P17" i="4" s="1"/>
  <c r="O16" i="4"/>
  <c r="P16" i="4" s="1"/>
  <c r="O18" i="4"/>
  <c r="P18" i="4" s="1"/>
  <c r="H13" i="10" l="1"/>
  <c r="M13" i="10" s="1"/>
  <c r="H16" i="10"/>
  <c r="M16" i="10" s="1"/>
  <c r="H14" i="10"/>
  <c r="M14" i="10" s="1"/>
  <c r="N21" i="4"/>
  <c r="L21" i="4"/>
  <c r="I17" i="10" l="1"/>
  <c r="I19" i="10"/>
  <c r="M21" i="4"/>
  <c r="O21" i="4" l="1"/>
  <c r="P21" i="4" l="1"/>
  <c r="H12" i="10"/>
  <c r="I21" i="10" l="1"/>
  <c r="M12" i="10"/>
  <c r="M17" i="10" l="1"/>
  <c r="J7" i="10" s="1"/>
  <c r="M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RayaPardazesh</author>
  </authors>
  <commentList>
    <comment ref="M5" authorId="0" shapeId="0" xr:uid="{18D40324-6D0E-443E-BE85-7F083B6BAEF9}">
      <text>
        <r>
          <rPr>
            <b/>
            <sz val="9"/>
            <color indexed="81"/>
            <rFont val="Tahoma"/>
            <family val="2"/>
          </rPr>
          <t>مبلغ سرانه‌ی هر واحد، همان مبلغی است که در زمان شروع فعالیت به عنوان ورودی از واحدها اخذ می‌گردد.</t>
        </r>
      </text>
    </comment>
    <comment ref="E12" authorId="0" shapeId="0" xr:uid="{8FB89A4C-BDF0-4AFD-9C8C-CB70D23318B6}">
      <text>
        <r>
          <rPr>
            <b/>
            <sz val="9"/>
            <color indexed="81"/>
            <rFont val="Tahoma"/>
            <family val="2"/>
          </rPr>
          <t>در این قسمت، تعداد روزهای غیرفعال بودن واحد در ماه جاری را وارد نمایید تا شارژ واحد بر اساس مقادیر شارژ واحدهای فعال و غیرفعال، بصورت ترکیبی محاسبه گردد.</t>
        </r>
      </text>
    </comment>
    <comment ref="I12" authorId="0" shapeId="0" xr:uid="{A005DC6B-6EBE-42EA-91B9-23098E674FE9}">
      <text>
        <r>
          <rPr>
            <b/>
            <sz val="9"/>
            <color indexed="81"/>
            <rFont val="Tahoma"/>
            <family val="2"/>
          </rPr>
          <t>وضعیت «به حساب شارژ» مربوط به واحدهایی است که مبلغ سهم قبض آب ایشان بخشی از مبلغ پرداختی شارژ ماهیانه محسوب می‌شود. (مانند واحدهای خالی)</t>
        </r>
      </text>
    </comment>
    <comment ref="L12" authorId="0" shapeId="0" xr:uid="{E484B015-0564-408D-92BC-424015E7325E}">
      <text>
        <r>
          <rPr>
            <b/>
            <sz val="9"/>
            <color indexed="81"/>
            <rFont val="Tahoma"/>
            <family val="2"/>
          </rPr>
          <t>مبلغ بدهی معوقه‌ی واحد تا قبل از ماه جاری، در این قسمت درج می‌گردد.</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RayaPardazesh</author>
  </authors>
  <commentList>
    <comment ref="C6" authorId="0" shapeId="0" xr:uid="{BFD7E254-DA30-43A8-BEF2-41A521828EA7}">
      <text>
        <r>
          <rPr>
            <b/>
            <sz val="9"/>
            <color indexed="81"/>
            <rFont val="Tahoma"/>
            <family val="2"/>
          </rPr>
          <t>تاریخ مد نظر را به شمسی وارد نمایید؛ مانند: 1400/01/01</t>
        </r>
      </text>
    </comment>
    <comment ref="D6" authorId="0" shapeId="0" xr:uid="{B13761BE-13FE-4196-8962-D2405CF52F1B}">
      <text>
        <r>
          <rPr>
            <b/>
            <sz val="9"/>
            <color indexed="81"/>
            <rFont val="Tahoma"/>
            <family val="2"/>
          </rPr>
          <t>یکی از دسته‌بندی‌های لیست را به عنوان شرح واریز انتخاب نمایید.</t>
        </r>
      </text>
    </comment>
    <comment ref="K7" authorId="0" shapeId="0" xr:uid="{BF072301-F4D7-4555-A559-D979DA1F300E}">
      <text>
        <r>
          <rPr>
            <b/>
            <sz val="9"/>
            <color indexed="81"/>
            <rFont val="Tahoma"/>
            <family val="2"/>
          </rPr>
          <t>بخشی که نیاز به محاسبه‌ی بازه‌ی تاریخی از آن دارید را از لیست انتخاب نمایید.</t>
        </r>
      </text>
    </comment>
    <comment ref="I9" authorId="0" shapeId="0" xr:uid="{F5941B9D-C371-4E9C-977E-2469480FFAFC}">
      <text>
        <r>
          <rPr>
            <b/>
            <sz val="9"/>
            <color indexed="81"/>
            <rFont val="Tahoma"/>
            <family val="2"/>
          </rPr>
          <t>تاریخ شروع محاسبه را به شمسی وارد نمایید؛ مانند: 1400/01/01</t>
        </r>
      </text>
    </comment>
    <comment ref="I10" authorId="0" shapeId="0" xr:uid="{E9D1E53A-E831-42C4-95FD-56DF11E379FD}">
      <text>
        <r>
          <rPr>
            <b/>
            <sz val="9"/>
            <color indexed="81"/>
            <rFont val="Tahoma"/>
            <family val="2"/>
          </rPr>
          <t>تاریخ پایان محاسبه را به شمسی وارد نمایید؛ مانند: 1400/02/01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RayaPardazesh</author>
  </authors>
  <commentList>
    <comment ref="C6" authorId="0" shapeId="0" xr:uid="{5F8596DC-8D32-447E-A325-73A69AD5835B}">
      <text>
        <r>
          <rPr>
            <b/>
            <sz val="9"/>
            <color indexed="81"/>
            <rFont val="Tahoma"/>
            <family val="2"/>
          </rPr>
          <t>تاریخ مد نظر را به شمسی وارد نمایید؛ مانند: 1400/01/01</t>
        </r>
      </text>
    </comment>
    <comment ref="D6" authorId="0" shapeId="0" xr:uid="{D3718E08-831C-407D-9976-A06FA17A0A2A}">
      <text>
        <r>
          <rPr>
            <b/>
            <sz val="9"/>
            <color indexed="81"/>
            <rFont val="Tahoma"/>
            <family val="2"/>
          </rPr>
          <t>یکی از دسته‌بندی‌های لیست را به عنوان شرح واریز انتخاب نمایید.</t>
        </r>
      </text>
    </comment>
    <comment ref="K7" authorId="0" shapeId="0" xr:uid="{03850D82-ABFA-49DF-A6AD-ACF0E1AC5437}">
      <text>
        <r>
          <rPr>
            <b/>
            <sz val="9"/>
            <color indexed="81"/>
            <rFont val="Tahoma"/>
            <family val="2"/>
          </rPr>
          <t>بخشی که نیاز به محاسبه‌ی بازه‌ی تاریخی از آن دارید را از لیست انتخاب نمایید.</t>
        </r>
      </text>
    </comment>
    <comment ref="I9" authorId="0" shapeId="0" xr:uid="{08C0197D-601F-43A0-AE00-038E7644C619}">
      <text>
        <r>
          <rPr>
            <b/>
            <sz val="9"/>
            <color indexed="81"/>
            <rFont val="Tahoma"/>
            <family val="2"/>
          </rPr>
          <t>تاریخ شروع محاسبه را به شمسی وارد نمایید؛ مانند: 1400/01/01</t>
        </r>
      </text>
    </comment>
    <comment ref="I10" authorId="0" shapeId="0" xr:uid="{5B691851-6FE6-4DEA-808B-2DE26D2A2928}">
      <text>
        <r>
          <rPr>
            <b/>
            <sz val="9"/>
            <color indexed="81"/>
            <rFont val="Tahoma"/>
            <family val="2"/>
          </rPr>
          <t>تاریخ پایان محاسبه را به شمسی وارد نمایید؛ مانند: 1400/02/01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RayaPardazesh</author>
  </authors>
  <commentList>
    <comment ref="B6" authorId="0" shapeId="0" xr:uid="{75D563D9-0DD1-4E57-9CF2-D8D21FEBE3B5}">
      <text>
        <r>
          <rPr>
            <b/>
            <sz val="9"/>
            <color indexed="81"/>
            <rFont val="Tahoma"/>
            <family val="2"/>
          </rPr>
          <t>در این قسمت، «تاریخ قرائت پیشین» مندرج در قبض آب را به شمسی وارد نمایید؛ مانند: 1400/01/01</t>
        </r>
      </text>
    </comment>
    <comment ref="E6" authorId="0" shapeId="0" xr:uid="{19B0D6F4-9723-42C4-8071-2C1474AD5413}">
      <text>
        <r>
          <rPr>
            <b/>
            <sz val="9"/>
            <color indexed="81"/>
            <rFont val="Tahoma"/>
            <family val="2"/>
          </rPr>
          <t>در این قسمت، «تاریخ قرائت کنونی» مندرج در قبض آب را به شمسی وارد نمایید؛ مانند: 1400/03/01</t>
        </r>
      </text>
    </comment>
    <comment ref="G6" authorId="0" shapeId="0" xr:uid="{5FCD56BF-E17F-4146-9D5C-9A850E43A9A0}">
      <text>
        <r>
          <rPr>
            <b/>
            <sz val="9"/>
            <color indexed="81"/>
            <rFont val="Tahoma"/>
            <family val="2"/>
          </rPr>
          <t>در این قسمت، «شماره کنتور پیشین» مندرج در قبض آب را وارد نمایید.</t>
        </r>
      </text>
    </comment>
    <comment ref="H6" authorId="0" shapeId="0" xr:uid="{0A85F29D-C8D5-47B3-90EA-A8A7A84CA160}">
      <text>
        <r>
          <rPr>
            <b/>
            <sz val="9"/>
            <color indexed="81"/>
            <rFont val="Tahoma"/>
            <family val="2"/>
          </rPr>
          <t>در این قسمت، «شماره کنتور کنونی» مندرج در قبض آب را وارد نمایید.</t>
        </r>
      </text>
    </comment>
    <comment ref="F8" authorId="0" shapeId="0" xr:uid="{010DFB1E-D566-4BB2-BE52-003C59412397}">
      <text>
        <r>
          <rPr>
            <b/>
            <sz val="9"/>
            <color indexed="81"/>
            <rFont val="Tahoma"/>
            <family val="2"/>
          </rPr>
          <t>در این قسمت، «حجم ظرفیت قراردادی» مندرج در قبض آب را وارد نمایید.</t>
        </r>
      </text>
    </comment>
    <comment ref="K8" authorId="0" shapeId="0" xr:uid="{933FC3A6-5FDE-446A-AEF7-B4F3F0BA04AD}">
      <text>
        <r>
          <rPr>
            <b/>
            <sz val="9"/>
            <color indexed="81"/>
            <rFont val="Tahoma"/>
            <family val="2"/>
          </rPr>
          <t>در این قسمت، «نرخ ظرفیت قراردادی» مربوط به مجتمع‌های تجاری مندرج در «تعرفه‌ی سالانه‌ی آب» را وارد نمایید. (این تعرفه، در سراسر ایران یکسان است و هر ساله پس از تصویب هیأت وزیران، اطلاع‌رسانی عمومی می‌شود که می‌توانید آن را در سایت آبفای استان خود نیز جستجو کنید.)</t>
        </r>
      </text>
    </comment>
    <comment ref="P8" authorId="0" shapeId="0" xr:uid="{44B4DC5D-A3E5-484C-A0DA-CCFF6626968B}">
      <text>
        <r>
          <rPr>
            <b/>
            <sz val="9"/>
            <color indexed="81"/>
            <rFont val="Tahoma"/>
            <family val="2"/>
          </rPr>
          <t>در این قسمت، «مبلغ آبونمان بابت آب‌بها» مندرج در «تعرفه‌ی سالانه‌ی آب» را وارد نمایید. (این تعرفه، در سراسر ایران یکسان است و هر ساله پس از تصویب هیأت وزیران، اطلاع‌رسانی عمومی می‌شود که می‌توانید آن را در سایت آبفای استان خود نیز جستجو کنید.)</t>
        </r>
      </text>
    </comment>
    <comment ref="F9" authorId="0" shapeId="0" xr:uid="{D963964C-9BC9-49B4-8E59-9B2736882B32}">
      <text>
        <r>
          <rPr>
            <b/>
            <sz val="9"/>
            <color indexed="81"/>
            <rFont val="Tahoma"/>
            <family val="2"/>
          </rPr>
          <t>در این قسمت، «تعداد انشعابات ثبت شده» مندرج در قبض آب را وارد نمایید.</t>
        </r>
      </text>
    </comment>
    <comment ref="K9" authorId="0" shapeId="0" xr:uid="{923B55C7-540A-4BE8-87C2-3C5BAA1C23F8}">
      <text>
        <r>
          <rPr>
            <b/>
            <sz val="9"/>
            <color indexed="81"/>
            <rFont val="Tahoma"/>
            <family val="2"/>
          </rPr>
          <t>در این قسمت، «نرخ آب آزاد» مندرج در «تعرفه‌ی سالانه‌ی آب» را وارد نمایید. (این تعرفه، در سراسر ایران یکسان است و هر ساله پس از تصویب هیأت وزیران، اطلاع‌رسانی عمومی می‌شود که می‌توانید آن را در سایت آبفای استان خود نیز جستجو کنید.)</t>
        </r>
      </text>
    </comment>
    <comment ref="P9" authorId="0" shapeId="0" xr:uid="{3DCCEAD9-B4D1-4814-AEAF-BF95E9A2AC4D}">
      <text>
        <r>
          <rPr>
            <b/>
            <sz val="9"/>
            <color indexed="81"/>
            <rFont val="Tahoma"/>
            <family val="2"/>
          </rPr>
          <t>در این قسمت، «مبلغ آبونمان بابت دفع فاضلاب» مندرج در «تعرفه‌ی سالانه‌ی آب» را وارد نمایید. (این تعرفه، در سراسر ایران یکسان است و هر ساله پس از تصویب هیأت وزیران، اطلاع‌رسانی عمومی می‌شود که می‌توانید آن را در سایت آبفای استان خود نیز جستجو کنید.)</t>
        </r>
      </text>
    </comment>
    <comment ref="E16" authorId="0" shapeId="0" xr:uid="{1D653CE9-0B80-44F4-B976-EEA58FB85BD0}">
      <text>
        <r>
          <rPr>
            <b/>
            <sz val="9"/>
            <color indexed="81"/>
            <rFont val="Tahoma"/>
            <family val="2"/>
          </rPr>
          <t>در این قسمت، تعداد روزهای غیرفعال بودن واحد در دوره‌ی جاری (بازه‌ی تاریخی مابین تاریخ پیشین و تاریخ کنونی قرائت کنتور مجتمع) را وارد نمایید تا مبلغ آب‌بهای مشاع واحد بصورت دقیق محاسبه گردد.
در صورت خالی بودن واحد در بازه‌ی زمانی فوق، از لیست، گزینه‌ی «خالی» را انتخاب نمایید.</t>
        </r>
      </text>
    </comment>
    <comment ref="F16" authorId="0" shapeId="0" xr:uid="{19F8DB2C-BA31-4639-96D9-D2311E98E773}">
      <text>
        <r>
          <rPr>
            <b/>
            <sz val="9"/>
            <color indexed="81"/>
            <rFont val="Tahoma"/>
            <family val="2"/>
          </rPr>
          <t>در این قسمت، ضریب خطای کنتور واحد را وارد نمایید تا در صورت خراب بودن کنتور، میزان مصرف آب واحد بصورت دقیق محاسبه شود.
بدین منظور، باید ظرفی با حجم 1 لیتر را توسط روشویی واحد مد نظر پر از آب کنید و ببینید کنتور واحد به چه میزان تغییر می‌کند؛ سپس عدد مصرفی کنتور را به عنوان ضریب خطای کنتور در این قسمت درج نمایید. (دقت فرمایید، اگر حجم ظرف بیشتر یا کمتر از 1 لیتر بود، باید عدد مصرفی کنتور واحد تقسیم بر حجم ظرف مذکور گردد و سپس حاصل تقسیم در این محل درج شود.)</t>
        </r>
      </text>
    </comment>
    <comment ref="H16" authorId="0" shapeId="0" xr:uid="{FA1351F9-853A-4A4C-B523-15EF8C84AC53}">
      <text>
        <r>
          <rPr>
            <b/>
            <sz val="9"/>
            <color indexed="81"/>
            <rFont val="Tahoma"/>
            <family val="2"/>
          </rPr>
          <t>در این قسمت، «تاریخ قرائت پیشین کنتور واحد» را به شمسی وارد نمایید؛ مانند: 1400/01/01</t>
        </r>
      </text>
    </comment>
    <comment ref="I16" authorId="0" shapeId="0" xr:uid="{5E9610FD-5D08-4F4E-AD07-E382D660875A}">
      <text>
        <r>
          <rPr>
            <b/>
            <sz val="9"/>
            <color indexed="81"/>
            <rFont val="Tahoma"/>
            <family val="2"/>
          </rPr>
          <t>در این قسمت، «تاریخ قرائت کنونی کنتور واحد» را به شمسی وارد نمایید؛ مانند: 1400/03/01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RayaPardazesh</author>
  </authors>
  <commentList>
    <comment ref="L4" authorId="0" shapeId="0" xr:uid="{0DC312F2-1275-4C68-9DC9-51BAE5EE537E}">
      <text>
        <r>
          <rPr>
            <b/>
            <sz val="9"/>
            <color indexed="81"/>
            <rFont val="Tahoma"/>
            <family val="2"/>
          </rPr>
          <t>از این قسمت، سال مالی مد نظر خود را انتخاب نمایید.</t>
        </r>
      </text>
    </comment>
  </commentList>
</comments>
</file>

<file path=xl/sharedStrings.xml><?xml version="1.0" encoding="utf-8"?>
<sst xmlns="http://schemas.openxmlformats.org/spreadsheetml/2006/main" count="379" uniqueCount="174">
  <si>
    <t>ردیف</t>
  </si>
  <si>
    <t>طبقه</t>
  </si>
  <si>
    <t>واحد</t>
  </si>
  <si>
    <t>متراژ</t>
  </si>
  <si>
    <t>وضعیت واحد</t>
  </si>
  <si>
    <t>نام مالک</t>
  </si>
  <si>
    <t>شماره تلفن ثابت مالک</t>
  </si>
  <si>
    <t>شماره تلفن همراه اصلی مالک</t>
  </si>
  <si>
    <t>شماره تلفن همراه دوم مالک</t>
  </si>
  <si>
    <t>نام مستأجر</t>
  </si>
  <si>
    <t>شماره تلفن ثابت مستأجر</t>
  </si>
  <si>
    <t>شماره تلفن همراه اصلی مستأجر</t>
  </si>
  <si>
    <t>شماره تلفن همراه دوم مستأجر</t>
  </si>
  <si>
    <t>وضعیت پارکینگ</t>
  </si>
  <si>
    <t>سایر توضیحات</t>
  </si>
  <si>
    <t>تاریخ شروع فعالیت</t>
  </si>
  <si>
    <t>تاریخ اتمام فعالیت</t>
  </si>
  <si>
    <t>کد پستی</t>
  </si>
  <si>
    <t>همکف</t>
  </si>
  <si>
    <t>اوّل</t>
  </si>
  <si>
    <t>خالی</t>
  </si>
  <si>
    <t>فعال (مالک)</t>
  </si>
  <si>
    <t>دارد</t>
  </si>
  <si>
    <t>ندارد</t>
  </si>
  <si>
    <t>تاریخ قرائت</t>
  </si>
  <si>
    <t>تعداد روز</t>
  </si>
  <si>
    <t>کارمزد دفع فاضلاب</t>
  </si>
  <si>
    <t>شماره کنتور واحد</t>
  </si>
  <si>
    <r>
      <t xml:space="preserve">شرح اقلام و مبالغ </t>
    </r>
    <r>
      <rPr>
        <sz val="8"/>
        <color theme="1"/>
        <rFont val="B Titr"/>
        <charset val="178"/>
      </rPr>
      <t>(ریال)</t>
    </r>
  </si>
  <si>
    <t>پیشین</t>
  </si>
  <si>
    <t>کنونی</t>
  </si>
  <si>
    <t>آب بها</t>
  </si>
  <si>
    <t>مالیات و عوارض</t>
  </si>
  <si>
    <t>قانون بودجه</t>
  </si>
  <si>
    <t>تخفیف</t>
  </si>
  <si>
    <t>وضعیت روشویی</t>
  </si>
  <si>
    <t>وضعیت پارکینگ و روشویی</t>
  </si>
  <si>
    <r>
      <t xml:space="preserve">مجموع آب‌بهای واحد </t>
    </r>
    <r>
      <rPr>
        <sz val="8"/>
        <color theme="1"/>
        <rFont val="B Titr"/>
        <charset val="178"/>
      </rPr>
      <t>(ریال)</t>
    </r>
  </si>
  <si>
    <r>
      <t xml:space="preserve">مبلغ آب‌بهای مصرفی مشاع </t>
    </r>
    <r>
      <rPr>
        <sz val="8"/>
        <color theme="1"/>
        <rFont val="B Titr"/>
        <charset val="178"/>
      </rPr>
      <t>(ریال)</t>
    </r>
  </si>
  <si>
    <r>
      <t xml:space="preserve">مجموع آب‌بهای ثابت </t>
    </r>
    <r>
      <rPr>
        <sz val="8"/>
        <color theme="1"/>
        <rFont val="B Titr"/>
        <charset val="178"/>
      </rPr>
      <t>(ریال)</t>
    </r>
  </si>
  <si>
    <r>
      <t xml:space="preserve">مبلغ قابل پرداخت واحد </t>
    </r>
    <r>
      <rPr>
        <sz val="8"/>
        <color theme="1"/>
        <rFont val="B Titr"/>
        <charset val="178"/>
      </rPr>
      <t>(ریال)</t>
    </r>
  </si>
  <si>
    <t>مجموع کل واحدها</t>
  </si>
  <si>
    <t>وضعیت کنتور آب</t>
  </si>
  <si>
    <r>
      <t xml:space="preserve">تعداد واحد‌های خالی </t>
    </r>
    <r>
      <rPr>
        <sz val="8"/>
        <color rgb="FFFFFF00"/>
        <rFont val="B Titr"/>
        <charset val="178"/>
      </rPr>
      <t>(کنتوردار)</t>
    </r>
  </si>
  <si>
    <r>
      <t xml:space="preserve">تعداد واحدهای فاقد روشویی </t>
    </r>
    <r>
      <rPr>
        <sz val="8"/>
        <color rgb="FFFFFF00"/>
        <rFont val="B Titr"/>
        <charset val="178"/>
      </rPr>
      <t>(کنتوردار فعال)</t>
    </r>
  </si>
  <si>
    <t>فعال (مستأجر)</t>
  </si>
  <si>
    <t>-</t>
  </si>
  <si>
    <t>وضعیت پرداخت</t>
  </si>
  <si>
    <t>پرداخت شده</t>
  </si>
  <si>
    <t>پرداخت نشده</t>
  </si>
  <si>
    <t>به حساب شارژ</t>
  </si>
  <si>
    <r>
      <t xml:space="preserve">مبلغ قابل پرداخت </t>
    </r>
    <r>
      <rPr>
        <sz val="11"/>
        <color theme="1"/>
        <rFont val="B Titr"/>
        <charset val="178"/>
      </rPr>
      <t>(ریال)</t>
    </r>
  </si>
  <si>
    <t>از تاریخ :</t>
  </si>
  <si>
    <t>تا تاریخ :</t>
  </si>
  <si>
    <t>ریال</t>
  </si>
  <si>
    <t>ریـــال</t>
  </si>
  <si>
    <t>ردیــف</t>
  </si>
  <si>
    <t>تـــاریــــخ</t>
  </si>
  <si>
    <t>تـــوضـــیـــحـــات</t>
  </si>
  <si>
    <t>جـــــمـــــع کـــــــل :</t>
  </si>
  <si>
    <t>ریـــــال</t>
  </si>
  <si>
    <r>
      <t xml:space="preserve">مبلغ هزینه شده </t>
    </r>
    <r>
      <rPr>
        <sz val="9"/>
        <color rgb="FFFFFF00"/>
        <rFont val="B Titr"/>
        <charset val="178"/>
      </rPr>
      <t>(ریال)</t>
    </r>
  </si>
  <si>
    <r>
      <t xml:space="preserve">جمع کل مبالغ هزینه شده </t>
    </r>
    <r>
      <rPr>
        <sz val="10"/>
        <color rgb="FFFF0000"/>
        <rFont val="B Titr"/>
        <charset val="178"/>
      </rPr>
      <t>(ریال)</t>
    </r>
  </si>
  <si>
    <t>شــــرح واریـــز</t>
  </si>
  <si>
    <r>
      <t xml:space="preserve">مبلغ واریز شده </t>
    </r>
    <r>
      <rPr>
        <sz val="9"/>
        <color rgb="FFFFFF00"/>
        <rFont val="B Titr"/>
        <charset val="178"/>
      </rPr>
      <t>(ریال)</t>
    </r>
  </si>
  <si>
    <r>
      <t xml:space="preserve">جمع کل مبالغ واریز شده </t>
    </r>
    <r>
      <rPr>
        <sz val="10"/>
        <color rgb="FFFF0000"/>
        <rFont val="B Titr"/>
        <charset val="178"/>
      </rPr>
      <t>(ریال)</t>
    </r>
  </si>
  <si>
    <t>فروردین</t>
  </si>
  <si>
    <t>اردیبهشت</t>
  </si>
  <si>
    <t>خرداد</t>
  </si>
  <si>
    <t>تیر</t>
  </si>
  <si>
    <t>مرداد</t>
  </si>
  <si>
    <t>شهریور</t>
  </si>
  <si>
    <t>مهر</t>
  </si>
  <si>
    <t>آبان</t>
  </si>
  <si>
    <t>آذر</t>
  </si>
  <si>
    <t>دی</t>
  </si>
  <si>
    <t>بهمن</t>
  </si>
  <si>
    <t>اسفند</t>
  </si>
  <si>
    <r>
      <t xml:space="preserve">مجموع کل واریزی‌ها </t>
    </r>
    <r>
      <rPr>
        <sz val="9"/>
        <color theme="5"/>
        <rFont val="B Titr"/>
        <charset val="178"/>
      </rPr>
      <t>(ریال)</t>
    </r>
  </si>
  <si>
    <r>
      <t xml:space="preserve">مجموع کل هزینه‌ها </t>
    </r>
    <r>
      <rPr>
        <sz val="9"/>
        <color theme="5"/>
        <rFont val="B Titr"/>
        <charset val="178"/>
      </rPr>
      <t>(ریال)</t>
    </r>
  </si>
  <si>
    <r>
      <t xml:space="preserve">برآیند کل ماهانه </t>
    </r>
    <r>
      <rPr>
        <sz val="9"/>
        <color theme="5"/>
        <rFont val="B Titr"/>
        <charset val="178"/>
      </rPr>
      <t>(ریال)</t>
    </r>
  </si>
  <si>
    <t>جـمـع کــل :</t>
  </si>
  <si>
    <t>نــام بــرج</t>
  </si>
  <si>
    <t>ســـال مـــالـــی :</t>
  </si>
  <si>
    <t>شرح واریز</t>
  </si>
  <si>
    <t>شرح هزینه</t>
  </si>
  <si>
    <t>شارژ ماهانه</t>
  </si>
  <si>
    <t>سهم قبض آب</t>
  </si>
  <si>
    <t>سرانه</t>
  </si>
  <si>
    <t>قبض آب</t>
  </si>
  <si>
    <t>حقوق نگهبان</t>
  </si>
  <si>
    <t>نظافت مجتمع</t>
  </si>
  <si>
    <t>سهم خودپرداز</t>
  </si>
  <si>
    <t>قبض برق</t>
  </si>
  <si>
    <t>اقلام مصرفی</t>
  </si>
  <si>
    <t>تعمیرات مجتمع</t>
  </si>
  <si>
    <t>بیمه مجتمع</t>
  </si>
  <si>
    <t>واریزی متفرقه</t>
  </si>
  <si>
    <t>هزینه‌ی متفرقه</t>
  </si>
  <si>
    <t>کلیه‌ی واریزی‌ها</t>
  </si>
  <si>
    <t>کلیه‌ی هزینه‌ها</t>
  </si>
  <si>
    <t>مجموع واریزی‌های بازه‌ای بابت :</t>
  </si>
  <si>
    <t>مجموع هزینه‌های بازه‌ای بابت :</t>
  </si>
  <si>
    <t>شــــرح هـزیـنـه</t>
  </si>
  <si>
    <t>جزئیات تبادلات مالی سالیانه‌ی مجتمع تجاری نگین</t>
  </si>
  <si>
    <t>واریزی‌ها</t>
  </si>
  <si>
    <t>شـــــــرح واریـــــــز</t>
  </si>
  <si>
    <t>شـــــــرح هزیــــنــــه</t>
  </si>
  <si>
    <t>واریزی‌های متفرقه</t>
  </si>
  <si>
    <t>هزینه‌های متفرقه</t>
  </si>
  <si>
    <t>هزینه‌ها</t>
  </si>
  <si>
    <t>ماه‌های سال</t>
  </si>
  <si>
    <t>سال مالی</t>
  </si>
  <si>
    <t>:</t>
  </si>
  <si>
    <t xml:space="preserve">محاسبات مالی مربوط به </t>
  </si>
  <si>
    <t>تعداد روزهای غیرفعال بودن واحد</t>
  </si>
  <si>
    <t>وضعیت پرداخت شارژ ماهیانه</t>
  </si>
  <si>
    <t>وضعیت پرداخت سهم قبض آب</t>
  </si>
  <si>
    <t>وضعیت پرداخت سرانه</t>
  </si>
  <si>
    <r>
      <t xml:space="preserve">مبلغ شارژ ماهیانه </t>
    </r>
    <r>
      <rPr>
        <sz val="8"/>
        <color theme="1"/>
        <rFont val="B Titr"/>
        <charset val="178"/>
      </rPr>
      <t>(ریال)</t>
    </r>
  </si>
  <si>
    <r>
      <t xml:space="preserve">سهم قبض آب واحد </t>
    </r>
    <r>
      <rPr>
        <sz val="8"/>
        <color theme="1"/>
        <rFont val="B Titr"/>
        <charset val="178"/>
      </rPr>
      <t>(ریال)</t>
    </r>
  </si>
  <si>
    <r>
      <t xml:space="preserve">مبلغ سرانه‌ی واحد </t>
    </r>
    <r>
      <rPr>
        <sz val="8"/>
        <color theme="1"/>
        <rFont val="B Titr"/>
        <charset val="178"/>
      </rPr>
      <t>(ریال)</t>
    </r>
  </si>
  <si>
    <r>
      <t xml:space="preserve">بدهی معوقه </t>
    </r>
    <r>
      <rPr>
        <sz val="8"/>
        <color theme="1"/>
        <rFont val="B Titr"/>
        <charset val="178"/>
      </rPr>
      <t>(ریال)</t>
    </r>
  </si>
  <si>
    <r>
      <t xml:space="preserve">مبلغ شارژ ماهانه‌ی واحدهای فعال </t>
    </r>
    <r>
      <rPr>
        <b/>
        <sz val="8"/>
        <color theme="1"/>
        <rFont val="B Titr"/>
        <charset val="178"/>
      </rPr>
      <t>(ریال)</t>
    </r>
    <r>
      <rPr>
        <b/>
        <sz val="11"/>
        <color theme="1"/>
        <rFont val="B Titr"/>
        <charset val="178"/>
      </rPr>
      <t xml:space="preserve"> :</t>
    </r>
  </si>
  <si>
    <r>
      <t xml:space="preserve">مبلغ شارژ ماهانه‌ی واحدهای غیرفعال </t>
    </r>
    <r>
      <rPr>
        <sz val="8"/>
        <color theme="1"/>
        <rFont val="B Titr"/>
        <charset val="178"/>
      </rPr>
      <t>(ریال)</t>
    </r>
    <r>
      <rPr>
        <sz val="11"/>
        <color theme="1"/>
        <rFont val="B Titr"/>
        <charset val="178"/>
      </rPr>
      <t xml:space="preserve"> :</t>
    </r>
  </si>
  <si>
    <r>
      <t xml:space="preserve">مبلغ سرانه‌ی هر واحد </t>
    </r>
    <r>
      <rPr>
        <sz val="8"/>
        <color theme="1"/>
        <rFont val="B Titr"/>
        <charset val="178"/>
      </rPr>
      <t>(ریال)</t>
    </r>
    <r>
      <rPr>
        <sz val="11"/>
        <color theme="1"/>
        <rFont val="B Titr"/>
        <charset val="178"/>
      </rPr>
      <t xml:space="preserve"> :</t>
    </r>
  </si>
  <si>
    <t>تعداد واحدهای بدهکار :</t>
  </si>
  <si>
    <t>اطــلاعــات مــالــی پــیــش‌فــرض</t>
  </si>
  <si>
    <r>
      <t xml:space="preserve">موجودی صندوق مجتمع </t>
    </r>
    <r>
      <rPr>
        <b/>
        <sz val="12"/>
        <color theme="0"/>
        <rFont val="B Titr"/>
        <charset val="178"/>
      </rPr>
      <t>(ریال)</t>
    </r>
    <r>
      <rPr>
        <b/>
        <sz val="16"/>
        <color theme="0"/>
        <rFont val="B Titr"/>
        <charset val="178"/>
      </rPr>
      <t xml:space="preserve"> :</t>
    </r>
  </si>
  <si>
    <r>
      <t xml:space="preserve">مجموع بدهی‌های واحد </t>
    </r>
    <r>
      <rPr>
        <sz val="8"/>
        <color theme="1"/>
        <rFont val="B Titr"/>
        <charset val="178"/>
      </rPr>
      <t>(ریال)</t>
    </r>
  </si>
  <si>
    <t>پرداخت شده :</t>
  </si>
  <si>
    <t>پرداخت نشده :</t>
  </si>
  <si>
    <t>به حساب شارژ :</t>
  </si>
  <si>
    <t>جـــمـــع کـــــل :</t>
  </si>
  <si>
    <r>
      <t xml:space="preserve">میزان مصرف واحد </t>
    </r>
    <r>
      <rPr>
        <sz val="8"/>
        <color theme="1"/>
        <rFont val="B Titr"/>
        <charset val="178"/>
      </rPr>
      <t>(لیتر)</t>
    </r>
  </si>
  <si>
    <t>ضریب خطای کنتور</t>
  </si>
  <si>
    <r>
      <t xml:space="preserve">میزان مصرف </t>
    </r>
    <r>
      <rPr>
        <sz val="8"/>
        <color theme="1"/>
        <rFont val="B Titr"/>
        <charset val="178"/>
      </rPr>
      <t>(متر مکعب)</t>
    </r>
  </si>
  <si>
    <t>تعداد واحدهای</t>
  </si>
  <si>
    <t>فاقد کنتور</t>
  </si>
  <si>
    <t>تعداد انشعابات ثبت‌شده :</t>
  </si>
  <si>
    <r>
      <t xml:space="preserve">حجم ظرفیت قراردادی </t>
    </r>
    <r>
      <rPr>
        <sz val="8"/>
        <color rgb="FFFFFF00"/>
        <rFont val="B Titr"/>
        <charset val="178"/>
      </rPr>
      <t>(متر مکعب)</t>
    </r>
    <r>
      <rPr>
        <sz val="11"/>
        <color rgb="FFFFFF00"/>
        <rFont val="B Titr"/>
        <charset val="178"/>
      </rPr>
      <t xml:space="preserve"> :</t>
    </r>
  </si>
  <si>
    <r>
      <t xml:space="preserve">نرخ ظرفیت قراردادی </t>
    </r>
    <r>
      <rPr>
        <sz val="8"/>
        <color rgb="FFFFFF00"/>
        <rFont val="B Titr"/>
        <charset val="178"/>
      </rPr>
      <t>(ریال)</t>
    </r>
    <r>
      <rPr>
        <sz val="11"/>
        <color rgb="FFFFFF00"/>
        <rFont val="B Titr"/>
        <charset val="178"/>
      </rPr>
      <t xml:space="preserve"> :</t>
    </r>
  </si>
  <si>
    <r>
      <t xml:space="preserve">نرخ آب آزاد </t>
    </r>
    <r>
      <rPr>
        <sz val="8"/>
        <color rgb="FFFFFF00"/>
        <rFont val="B Titr"/>
        <charset val="178"/>
      </rPr>
      <t>(ریال)</t>
    </r>
    <r>
      <rPr>
        <sz val="11"/>
        <color rgb="FFFFFF00"/>
        <rFont val="B Titr"/>
        <charset val="178"/>
      </rPr>
      <t xml:space="preserve"> :</t>
    </r>
  </si>
  <si>
    <r>
      <t xml:space="preserve">مبلغ آبونمان بابت آب‌بها </t>
    </r>
    <r>
      <rPr>
        <sz val="8"/>
        <color rgb="FFFFFF00"/>
        <rFont val="B Titr"/>
        <charset val="178"/>
      </rPr>
      <t>(ریال)</t>
    </r>
    <r>
      <rPr>
        <sz val="11"/>
        <color rgb="FFFFFF00"/>
        <rFont val="B Titr"/>
        <charset val="178"/>
      </rPr>
      <t xml:space="preserve"> :</t>
    </r>
  </si>
  <si>
    <r>
      <t xml:space="preserve">مبلغ آبونمان بابت دفع فاضلاب </t>
    </r>
    <r>
      <rPr>
        <sz val="8"/>
        <color rgb="FFFFFF00"/>
        <rFont val="B Titr"/>
        <charset val="178"/>
      </rPr>
      <t>(ریال)</t>
    </r>
    <r>
      <rPr>
        <sz val="11"/>
        <color rgb="FFFFFF00"/>
        <rFont val="B Titr"/>
        <charset val="178"/>
      </rPr>
      <t xml:space="preserve"> :</t>
    </r>
  </si>
  <si>
    <t>تعداد واحدهای دارای روشویی</t>
  </si>
  <si>
    <t>(کنتوردار فعال)</t>
  </si>
  <si>
    <t>مــــجــــمــــوع کـــــــــــــل :</t>
  </si>
  <si>
    <t>مدیریت تبادلات مالی ماهیانه‌ی مجتمع تجاری</t>
  </si>
  <si>
    <t>دوم</t>
  </si>
  <si>
    <t>سوم</t>
  </si>
  <si>
    <t>چهارم</t>
  </si>
  <si>
    <t>پنجم</t>
  </si>
  <si>
    <t>ششم</t>
  </si>
  <si>
    <t>هفتم</t>
  </si>
  <si>
    <t>هشتم</t>
  </si>
  <si>
    <t>نهم</t>
  </si>
  <si>
    <t>دهم</t>
  </si>
  <si>
    <t>لیست واریزی‌های مجتمع تجاری</t>
  </si>
  <si>
    <t>قبض آب مجتمع تجاری</t>
  </si>
  <si>
    <t>لیست هزینه‌های مجتمع تجاری</t>
  </si>
  <si>
    <t>خلاصه تبادلات مالی سالیانه‌ی مجتمع تجاری</t>
  </si>
  <si>
    <r>
      <t xml:space="preserve">واحد </t>
    </r>
    <r>
      <rPr>
        <sz val="8"/>
        <color theme="1"/>
        <rFont val="B Titr"/>
        <charset val="178"/>
      </rPr>
      <t>(ریال)</t>
    </r>
  </si>
  <si>
    <r>
      <t xml:space="preserve">مبلغ آب‌بهای مصرفی واحد </t>
    </r>
    <r>
      <rPr>
        <sz val="8"/>
        <color theme="1"/>
        <rFont val="B Titr"/>
        <charset val="178"/>
      </rPr>
      <t>(ریال)</t>
    </r>
  </si>
  <si>
    <t>شماره کنتور مجتمع</t>
  </si>
  <si>
    <t>نسخه‌ی نرم‌افزار :</t>
  </si>
  <si>
    <t>شماره سریال محصول :</t>
  </si>
  <si>
    <t>ســـایـر مـحـصـولات :</t>
  </si>
  <si>
    <t>مدیریت انتخاب</t>
  </si>
  <si>
    <t xml:space="preserve">       بصرفه‌ترین بسته‌ی اینترنت</t>
  </si>
  <si>
    <t xml:space="preserve">مدیریت مجتمع مسکونی  </t>
  </si>
  <si>
    <t>3.5.37</t>
  </si>
  <si>
    <t>مبلغ آبونمان</t>
  </si>
  <si>
    <t>(نسخه‌ی رایگان)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</si>
</sst>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960429]dddd\,\ d\ mmmm\ yyyy;@"/>
    <numFmt numFmtId="165" formatCode="yyyy\-mm\-dd;@"/>
    <numFmt numFmtId="166" formatCode="[$-960429]dd/mm/yyyy;@"/>
    <numFmt numFmtId="167" formatCode="[$-960429]yyyy/mm/dd;@"/>
    <numFmt numFmtId="168" formatCode="0.000"/>
  </numFmts>
  <fonts count="59" x14ac:knownFonts="1">
    <font>
      <sz val="11"/>
      <color theme="1"/>
      <name val="Calibri"/>
      <family val="2"/>
      <charset val="178"/>
      <scheme val="minor"/>
    </font>
    <font>
      <sz val="11"/>
      <color theme="1"/>
      <name val="B Titr"/>
      <charset val="178"/>
    </font>
    <font>
      <sz val="8"/>
      <color theme="1"/>
      <name val="B Titr"/>
      <charset val="178"/>
    </font>
    <font>
      <b/>
      <sz val="11"/>
      <color theme="1"/>
      <name val="B Titr"/>
      <charset val="178"/>
    </font>
    <font>
      <sz val="16"/>
      <color rgb="FFFFFF00"/>
      <name val="B Titr"/>
      <charset val="178"/>
    </font>
    <font>
      <sz val="11"/>
      <color theme="0"/>
      <name val="B Titr"/>
      <charset val="178"/>
    </font>
    <font>
      <sz val="11"/>
      <color rgb="FFFFFF00"/>
      <name val="B Titr"/>
      <charset val="178"/>
    </font>
    <font>
      <sz val="8"/>
      <color rgb="FFFFFF00"/>
      <name val="B Titr"/>
      <charset val="178"/>
    </font>
    <font>
      <sz val="18"/>
      <color rgb="FFFF0000"/>
      <name val="B Titr"/>
      <charset val="178"/>
    </font>
    <font>
      <sz val="13"/>
      <color theme="0" tint="-0.499984740745262"/>
      <name val="B Titr"/>
      <charset val="178"/>
    </font>
    <font>
      <sz val="13"/>
      <color theme="5" tint="-0.249977111117893"/>
      <name val="B Titr"/>
      <charset val="178"/>
    </font>
    <font>
      <sz val="13"/>
      <color rgb="FFFFC000"/>
      <name val="B Titr"/>
      <charset val="178"/>
    </font>
    <font>
      <sz val="13"/>
      <color rgb="FFFF0000"/>
      <name val="B Titr"/>
      <charset val="178"/>
    </font>
    <font>
      <sz val="14"/>
      <color theme="1"/>
      <name val="B Titr"/>
      <charset val="178"/>
    </font>
    <font>
      <sz val="11"/>
      <color rgb="FF0070C0"/>
      <name val="B Titr"/>
      <charset val="178"/>
    </font>
    <font>
      <sz val="12"/>
      <color rgb="FF7030A0"/>
      <name val="B Titr"/>
      <charset val="178"/>
    </font>
    <font>
      <sz val="14"/>
      <color rgb="FF00B050"/>
      <name val="B Titr"/>
      <charset val="178"/>
    </font>
    <font>
      <sz val="12"/>
      <color theme="0"/>
      <name val="B Titr"/>
      <charset val="178"/>
    </font>
    <font>
      <sz val="12"/>
      <color rgb="FF00B050"/>
      <name val="B Titr"/>
      <charset val="178"/>
    </font>
    <font>
      <sz val="12"/>
      <color rgb="FFFFFF00"/>
      <name val="B Titr"/>
      <charset val="178"/>
    </font>
    <font>
      <sz val="9"/>
      <color rgb="FFFFFF00"/>
      <name val="B Titr"/>
      <charset val="178"/>
    </font>
    <font>
      <sz val="16"/>
      <color rgb="FFFF0000"/>
      <name val="B Titr"/>
      <charset val="178"/>
    </font>
    <font>
      <sz val="16"/>
      <color rgb="FF00B050"/>
      <name val="B Titr"/>
      <charset val="178"/>
    </font>
    <font>
      <sz val="14"/>
      <color theme="0"/>
      <name val="B Titr"/>
      <charset val="178"/>
    </font>
    <font>
      <sz val="14"/>
      <color rgb="FFFF0000"/>
      <name val="B Titr"/>
      <charset val="178"/>
    </font>
    <font>
      <sz val="10"/>
      <color rgb="FFFF0000"/>
      <name val="B Titr"/>
      <charset val="178"/>
    </font>
    <font>
      <sz val="16"/>
      <color rgb="FF7030A0"/>
      <name val="B Titr"/>
      <charset val="178"/>
    </font>
    <font>
      <sz val="12"/>
      <color theme="5"/>
      <name val="B Titr"/>
      <charset val="178"/>
    </font>
    <font>
      <sz val="9"/>
      <color theme="5"/>
      <name val="B Titr"/>
      <charset val="178"/>
    </font>
    <font>
      <sz val="16"/>
      <color rgb="FF66FF33"/>
      <name val="B Titr"/>
      <charset val="178"/>
    </font>
    <font>
      <sz val="12"/>
      <color theme="1"/>
      <name val="B Titr"/>
      <charset val="178"/>
    </font>
    <font>
      <sz val="16"/>
      <color rgb="FFFF0066"/>
      <name val="B Titr"/>
      <charset val="178"/>
    </font>
    <font>
      <sz val="14"/>
      <color rgb="FFC00000"/>
      <name val="B Titr"/>
      <charset val="178"/>
    </font>
    <font>
      <sz val="48"/>
      <color rgb="FF00B050"/>
      <name val="B Titr"/>
      <charset val="178"/>
    </font>
    <font>
      <sz val="48"/>
      <color rgb="FFFF0000"/>
      <name val="B Titr"/>
      <charset val="178"/>
    </font>
    <font>
      <b/>
      <sz val="10"/>
      <color theme="1"/>
      <name val="B Titr"/>
      <charset val="178"/>
    </font>
    <font>
      <b/>
      <sz val="8"/>
      <color theme="1"/>
      <name val="B Titr"/>
      <charset val="178"/>
    </font>
    <font>
      <b/>
      <sz val="12"/>
      <color theme="1"/>
      <name val="B Titr"/>
      <charset val="178"/>
    </font>
    <font>
      <b/>
      <sz val="14"/>
      <color theme="1"/>
      <name val="B Titr"/>
      <charset val="178"/>
    </font>
    <font>
      <b/>
      <sz val="14"/>
      <color rgb="FFFF0000"/>
      <name val="B Titr"/>
      <charset val="178"/>
    </font>
    <font>
      <b/>
      <sz val="14"/>
      <color rgb="FF0070C0"/>
      <name val="B Titr"/>
      <charset val="178"/>
    </font>
    <font>
      <b/>
      <sz val="11"/>
      <color theme="0"/>
      <name val="B Titr"/>
      <charset val="178"/>
    </font>
    <font>
      <b/>
      <sz val="16"/>
      <color theme="0"/>
      <name val="B Titr"/>
      <charset val="178"/>
    </font>
    <font>
      <b/>
      <sz val="12"/>
      <color theme="0"/>
      <name val="B Titr"/>
      <charset val="178"/>
    </font>
    <font>
      <sz val="12"/>
      <color rgb="FFFF0000"/>
      <name val="B Titr"/>
      <charset val="178"/>
    </font>
    <font>
      <sz val="12"/>
      <color theme="8" tint="-0.499984740745262"/>
      <name val="B Titr"/>
      <charset val="178"/>
    </font>
    <font>
      <b/>
      <sz val="18"/>
      <color rgb="FFFF0066"/>
      <name val="B Titr"/>
      <charset val="178"/>
    </font>
    <font>
      <b/>
      <sz val="11"/>
      <color rgb="FFFFFF00"/>
      <name val="B Titr"/>
      <charset val="178"/>
    </font>
    <font>
      <b/>
      <sz val="10"/>
      <color rgb="FF00B050"/>
      <name val="B Titr"/>
      <charset val="178"/>
    </font>
    <font>
      <b/>
      <sz val="10"/>
      <color rgb="FFFF0000"/>
      <name val="B Titr"/>
      <charset val="178"/>
    </font>
    <font>
      <b/>
      <sz val="10"/>
      <color theme="9" tint="-0.249977111117893"/>
      <name val="B Titr"/>
      <charset val="178"/>
    </font>
    <font>
      <b/>
      <sz val="9"/>
      <color indexed="81"/>
      <name val="Tahoma"/>
      <family val="2"/>
    </font>
    <font>
      <sz val="11"/>
      <color theme="0"/>
      <name val="Calibri"/>
      <family val="2"/>
      <charset val="178"/>
      <scheme val="minor"/>
    </font>
    <font>
      <sz val="20"/>
      <color theme="0"/>
      <name val="B Titr"/>
      <charset val="178"/>
    </font>
    <font>
      <sz val="36"/>
      <color rgb="FFFF0000"/>
      <name val="B Titr"/>
      <charset val="178"/>
    </font>
    <font>
      <sz val="20"/>
      <color rgb="FFFF0000"/>
      <name val="B Titr"/>
      <charset val="178"/>
    </font>
    <font>
      <sz val="20"/>
      <color rgb="FF002060"/>
      <name val="B Narm"/>
      <charset val="178"/>
    </font>
    <font>
      <sz val="11"/>
      <color theme="1"/>
      <name val="B Narm"/>
      <charset val="178"/>
    </font>
    <font>
      <b/>
      <sz val="10"/>
      <name val="B Titr"/>
      <charset val="178"/>
    </font>
  </fonts>
  <fills count="33">
    <fill>
      <patternFill patternType="none"/>
    </fill>
    <fill>
      <patternFill patternType="gray125"/>
    </fill>
    <fill>
      <patternFill patternType="solid">
        <fgColor rgb="FF00B05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1"/>
        <bgColor indexed="64"/>
      </patternFill>
    </fill>
    <fill>
      <patternFill patternType="solid">
        <fgColor theme="5" tint="-0.249977111117893"/>
        <bgColor indexed="64"/>
      </patternFill>
    </fill>
    <fill>
      <patternFill patternType="solid">
        <fgColor rgb="FF7030A0"/>
        <bgColor indexed="64"/>
      </patternFill>
    </fill>
    <fill>
      <patternFill patternType="solid">
        <fgColor rgb="FF0070C0"/>
        <bgColor indexed="64"/>
      </patternFill>
    </fill>
    <fill>
      <patternFill patternType="solid">
        <fgColor rgb="FF002060"/>
        <bgColor indexed="64"/>
      </patternFill>
    </fill>
    <fill>
      <patternFill patternType="solid">
        <fgColor rgb="FFC000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darkUp">
        <bgColor theme="0"/>
      </patternFill>
    </fill>
    <fill>
      <patternFill patternType="solid">
        <fgColor rgb="FFFF0066"/>
        <bgColor indexed="64"/>
      </patternFill>
    </fill>
    <fill>
      <patternFill patternType="solid">
        <fgColor theme="0" tint="-0.499984740745262"/>
        <bgColor indexed="64"/>
      </patternFill>
    </fill>
    <fill>
      <patternFill patternType="solid">
        <fgColor theme="3"/>
        <bgColor indexed="64"/>
      </patternFill>
    </fill>
    <fill>
      <patternFill patternType="solid">
        <fgColor theme="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7" tint="-0.499984740745262"/>
        <bgColor indexed="64"/>
      </patternFill>
    </fill>
    <fill>
      <patternFill patternType="gray0625">
        <fgColor auto="1"/>
        <bgColor theme="0"/>
      </patternFill>
    </fill>
  </fills>
  <borders count="80">
    <border>
      <left/>
      <right/>
      <top/>
      <bottom/>
      <diagonal/>
    </border>
    <border>
      <left style="thick">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ck">
        <color auto="1"/>
      </right>
      <top style="thin">
        <color auto="1"/>
      </top>
      <bottom style="thin">
        <color auto="1"/>
      </bottom>
      <diagonal/>
    </border>
    <border>
      <left style="thick">
        <color auto="1"/>
      </left>
      <right style="medium">
        <color auto="1"/>
      </right>
      <top style="thin">
        <color auto="1"/>
      </top>
      <bottom style="thick">
        <color auto="1"/>
      </bottom>
      <diagonal/>
    </border>
    <border>
      <left style="medium">
        <color auto="1"/>
      </left>
      <right style="medium">
        <color auto="1"/>
      </right>
      <top style="thin">
        <color auto="1"/>
      </top>
      <bottom style="thick">
        <color auto="1"/>
      </bottom>
      <diagonal/>
    </border>
    <border>
      <left style="medium">
        <color auto="1"/>
      </left>
      <right style="thick">
        <color auto="1"/>
      </right>
      <top style="thin">
        <color auto="1"/>
      </top>
      <bottom style="thick">
        <color auto="1"/>
      </bottom>
      <diagonal/>
    </border>
    <border>
      <left style="thick">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ck">
        <color auto="1"/>
      </right>
      <top/>
      <bottom style="thin">
        <color auto="1"/>
      </bottom>
      <diagonal/>
    </border>
    <border>
      <left style="thick">
        <color auto="1"/>
      </left>
      <right style="medium">
        <color auto="1"/>
      </right>
      <top style="thick">
        <color auto="1"/>
      </top>
      <bottom style="thick">
        <color auto="1"/>
      </bottom>
      <diagonal/>
    </border>
    <border>
      <left style="medium">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medium">
        <color auto="1"/>
      </right>
      <top style="medium">
        <color auto="1"/>
      </top>
      <bottom style="thick">
        <color auto="1"/>
      </bottom>
      <diagonal/>
    </border>
    <border>
      <left style="thick">
        <color auto="1"/>
      </left>
      <right style="medium">
        <color auto="1"/>
      </right>
      <top style="thick">
        <color auto="1"/>
      </top>
      <bottom style="thin">
        <color auto="1"/>
      </bottom>
      <diagonal/>
    </border>
    <border>
      <left style="medium">
        <color auto="1"/>
      </left>
      <right style="medium">
        <color auto="1"/>
      </right>
      <top style="thick">
        <color auto="1"/>
      </top>
      <bottom style="thin">
        <color auto="1"/>
      </bottom>
      <diagonal/>
    </border>
    <border>
      <left style="medium">
        <color auto="1"/>
      </left>
      <right style="thick">
        <color auto="1"/>
      </right>
      <top style="thick">
        <color auto="1"/>
      </top>
      <bottom style="thin">
        <color auto="1"/>
      </bottom>
      <diagonal/>
    </border>
    <border>
      <left style="medium">
        <color auto="1"/>
      </left>
      <right style="medium">
        <color auto="1"/>
      </right>
      <top style="thick">
        <color auto="1"/>
      </top>
      <bottom/>
      <diagonal/>
    </border>
    <border>
      <left style="medium">
        <color auto="1"/>
      </left>
      <right style="medium">
        <color auto="1"/>
      </right>
      <top/>
      <bottom style="thick">
        <color auto="1"/>
      </bottom>
      <diagonal/>
    </border>
    <border>
      <left style="medium">
        <color auto="1"/>
      </left>
      <right/>
      <top style="thick">
        <color auto="1"/>
      </top>
      <bottom style="thick">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thick">
        <color auto="1"/>
      </bottom>
      <diagonal/>
    </border>
    <border>
      <left style="medium">
        <color auto="1"/>
      </left>
      <right/>
      <top style="thick">
        <color auto="1"/>
      </top>
      <bottom/>
      <diagonal/>
    </border>
    <border>
      <left style="medium">
        <color auto="1"/>
      </left>
      <right/>
      <top/>
      <bottom style="thick">
        <color auto="1"/>
      </bottom>
      <diagonal/>
    </border>
    <border>
      <left style="thick">
        <color auto="1"/>
      </left>
      <right/>
      <top style="thick">
        <color auto="1"/>
      </top>
      <bottom/>
      <diagonal/>
    </border>
    <border>
      <left/>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style="thick">
        <color auto="1"/>
      </top>
      <bottom/>
      <diagonal/>
    </border>
    <border>
      <left/>
      <right style="thick">
        <color auto="1"/>
      </right>
      <top/>
      <bottom style="thick">
        <color auto="1"/>
      </bottom>
      <diagonal/>
    </border>
    <border>
      <left style="thick">
        <color auto="1"/>
      </left>
      <right style="thick">
        <color auto="1"/>
      </right>
      <top style="thick">
        <color auto="1"/>
      </top>
      <bottom style="thick">
        <color auto="1"/>
      </bottom>
      <diagonal/>
    </border>
    <border>
      <left style="medium">
        <color auto="1"/>
      </left>
      <right style="medium">
        <color auto="1"/>
      </right>
      <top style="thin">
        <color auto="1"/>
      </top>
      <bottom/>
      <diagonal/>
    </border>
    <border>
      <left style="medium">
        <color auto="1"/>
      </left>
      <right style="thick">
        <color auto="1"/>
      </right>
      <top style="thin">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medium">
        <color auto="1"/>
      </right>
      <top style="thick">
        <color auto="1"/>
      </top>
      <bottom style="thick">
        <color auto="1"/>
      </bottom>
      <diagonal/>
    </border>
    <border>
      <left/>
      <right style="thick">
        <color auto="1"/>
      </right>
      <top style="thick">
        <color auto="1"/>
      </top>
      <bottom style="thick">
        <color auto="1"/>
      </bottom>
      <diagonal/>
    </border>
    <border>
      <left style="thick">
        <color auto="1"/>
      </left>
      <right style="medium">
        <color auto="1"/>
      </right>
      <top style="thick">
        <color auto="1"/>
      </top>
      <bottom/>
      <diagonal/>
    </border>
    <border>
      <left style="medium">
        <color auto="1"/>
      </left>
      <right style="thick">
        <color auto="1"/>
      </right>
      <top style="thick">
        <color auto="1"/>
      </top>
      <bottom/>
      <diagonal/>
    </border>
    <border>
      <left style="thick">
        <color auto="1"/>
      </left>
      <right style="medium">
        <color auto="1"/>
      </right>
      <top/>
      <bottom style="thick">
        <color auto="1"/>
      </bottom>
      <diagonal/>
    </border>
    <border>
      <left style="medium">
        <color auto="1"/>
      </left>
      <right style="thick">
        <color auto="1"/>
      </right>
      <top/>
      <bottom style="thick">
        <color auto="1"/>
      </bottom>
      <diagonal/>
    </border>
    <border>
      <left style="thick">
        <color auto="1"/>
      </left>
      <right style="medium">
        <color auto="1"/>
      </right>
      <top style="thin">
        <color auto="1"/>
      </top>
      <bottom/>
      <diagonal/>
    </border>
    <border>
      <left style="medium">
        <color auto="1"/>
      </left>
      <right/>
      <top style="thin">
        <color auto="1"/>
      </top>
      <bottom/>
      <diagonal/>
    </border>
    <border>
      <left style="thick">
        <color auto="1"/>
      </left>
      <right style="thick">
        <color auto="1"/>
      </right>
      <top/>
      <bottom style="thick">
        <color auto="1"/>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right style="medium">
        <color auto="1"/>
      </right>
      <top style="thin">
        <color auto="1"/>
      </top>
      <bottom style="thin">
        <color auto="1"/>
      </bottom>
      <diagonal/>
    </border>
    <border>
      <left style="thick">
        <color auto="1"/>
      </left>
      <right style="thick">
        <color theme="0"/>
      </right>
      <top style="thick">
        <color theme="0"/>
      </top>
      <bottom style="thick">
        <color theme="0"/>
      </bottom>
      <diagonal/>
    </border>
    <border>
      <left/>
      <right style="medium">
        <color auto="1"/>
      </right>
      <top/>
      <bottom/>
      <diagonal/>
    </border>
    <border>
      <left style="medium">
        <color auto="1"/>
      </left>
      <right style="medium">
        <color auto="1"/>
      </right>
      <top/>
      <bottom/>
      <diagonal/>
    </border>
    <border>
      <left style="medium">
        <color auto="1"/>
      </left>
      <right style="thick">
        <color auto="1"/>
      </right>
      <top/>
      <bottom/>
      <diagonal/>
    </border>
    <border>
      <left style="thick">
        <color auto="1"/>
      </left>
      <right style="medium">
        <color auto="1"/>
      </right>
      <top/>
      <bottom/>
      <diagonal/>
    </border>
    <border>
      <left/>
      <right style="medium">
        <color auto="1"/>
      </right>
      <top style="thick">
        <color auto="1"/>
      </top>
      <bottom/>
      <diagonal/>
    </border>
    <border>
      <left style="medium">
        <color auto="1"/>
      </left>
      <right/>
      <top/>
      <bottom/>
      <diagonal/>
    </border>
    <border>
      <left/>
      <right style="medium">
        <color auto="1"/>
      </right>
      <top/>
      <bottom style="thick">
        <color auto="1"/>
      </bottom>
      <diagonal/>
    </border>
    <border>
      <left style="medium">
        <color auto="1"/>
      </left>
      <right/>
      <top style="thick">
        <color auto="1"/>
      </top>
      <bottom style="medium">
        <color auto="1"/>
      </bottom>
      <diagonal/>
    </border>
    <border>
      <left/>
      <right style="medium">
        <color auto="1"/>
      </right>
      <top style="thick">
        <color auto="1"/>
      </top>
      <bottom style="medium">
        <color auto="1"/>
      </bottom>
      <diagonal/>
    </border>
    <border>
      <left style="medium">
        <color auto="1"/>
      </left>
      <right/>
      <top style="thick">
        <color auto="1"/>
      </top>
      <bottom style="thin">
        <color auto="1"/>
      </bottom>
      <diagonal/>
    </border>
    <border>
      <left/>
      <right style="medium">
        <color auto="1"/>
      </right>
      <top style="thick">
        <color auto="1"/>
      </top>
      <bottom style="thin">
        <color auto="1"/>
      </bottom>
      <diagonal/>
    </border>
    <border>
      <left/>
      <right style="thick">
        <color auto="1"/>
      </right>
      <top/>
      <bottom/>
      <diagonal/>
    </border>
    <border>
      <left style="thick">
        <color auto="1"/>
      </left>
      <right style="thick">
        <color rgb="FFFFC000"/>
      </right>
      <top style="thick">
        <color auto="1"/>
      </top>
      <bottom style="thick">
        <color auto="1"/>
      </bottom>
      <diagonal/>
    </border>
    <border>
      <left style="thick">
        <color rgb="FFFFC000"/>
      </left>
      <right style="thick">
        <color rgb="FFFFC000"/>
      </right>
      <top style="thick">
        <color auto="1"/>
      </top>
      <bottom style="thick">
        <color auto="1"/>
      </bottom>
      <diagonal/>
    </border>
    <border>
      <left style="thick">
        <color rgb="FFFFC000"/>
      </left>
      <right style="thick">
        <color auto="1"/>
      </right>
      <top style="thick">
        <color auto="1"/>
      </top>
      <bottom style="thick">
        <color auto="1"/>
      </bottom>
      <diagonal/>
    </border>
    <border>
      <left style="thick">
        <color theme="0"/>
      </left>
      <right style="thick">
        <color auto="1"/>
      </right>
      <top style="thick">
        <color auto="1"/>
      </top>
      <bottom/>
      <diagonal/>
    </border>
    <border>
      <left style="thick">
        <color theme="0"/>
      </left>
      <right style="thick">
        <color auto="1"/>
      </right>
      <top/>
      <bottom style="thick">
        <color auto="1"/>
      </bottom>
      <diagonal/>
    </border>
    <border>
      <left style="thick">
        <color auto="1"/>
      </left>
      <right style="thick">
        <color theme="0"/>
      </right>
      <top style="thick">
        <color auto="1"/>
      </top>
      <bottom/>
      <diagonal/>
    </border>
    <border>
      <left style="thick">
        <color theme="0"/>
      </left>
      <right style="thick">
        <color theme="0"/>
      </right>
      <top style="thick">
        <color auto="1"/>
      </top>
      <bottom/>
      <diagonal/>
    </border>
    <border>
      <left style="thick">
        <color auto="1"/>
      </left>
      <right style="thick">
        <color theme="0"/>
      </right>
      <top/>
      <bottom style="thick">
        <color auto="1"/>
      </bottom>
      <diagonal/>
    </border>
    <border>
      <left style="thick">
        <color theme="0"/>
      </left>
      <right style="thick">
        <color theme="0"/>
      </right>
      <top/>
      <bottom style="thick">
        <color auto="1"/>
      </bottom>
      <diagonal/>
    </border>
    <border>
      <left style="thick">
        <color auto="1"/>
      </left>
      <right style="thick">
        <color rgb="FF00B050"/>
      </right>
      <top style="thick">
        <color auto="1"/>
      </top>
      <bottom/>
      <diagonal/>
    </border>
    <border>
      <left style="thick">
        <color rgb="FF00B050"/>
      </left>
      <right style="thick">
        <color auto="1"/>
      </right>
      <top style="thick">
        <color auto="1"/>
      </top>
      <bottom/>
      <diagonal/>
    </border>
    <border>
      <left style="thick">
        <color auto="1"/>
      </left>
      <right style="thick">
        <color rgb="FF00B050"/>
      </right>
      <top/>
      <bottom style="thick">
        <color auto="1"/>
      </bottom>
      <diagonal/>
    </border>
    <border>
      <left style="thick">
        <color rgb="FF00B050"/>
      </left>
      <right style="thick">
        <color auto="1"/>
      </right>
      <top/>
      <bottom style="thick">
        <color auto="1"/>
      </bottom>
      <diagonal/>
    </border>
    <border>
      <left/>
      <right style="medium">
        <color auto="1"/>
      </right>
      <top style="thin">
        <color auto="1"/>
      </top>
      <bottom style="thick">
        <color auto="1"/>
      </bottom>
      <diagonal/>
    </border>
    <border>
      <left/>
      <right style="thick">
        <color theme="0"/>
      </right>
      <top style="thick">
        <color auto="1"/>
      </top>
      <bottom/>
      <diagonal/>
    </border>
    <border>
      <left/>
      <right style="thick">
        <color theme="0"/>
      </right>
      <top/>
      <bottom style="thick">
        <color auto="1"/>
      </bottom>
      <diagonal/>
    </border>
  </borders>
  <cellStyleXfs count="1">
    <xf numFmtId="0" fontId="0" fillId="0" borderId="0"/>
  </cellStyleXfs>
  <cellXfs count="380">
    <xf numFmtId="0" fontId="0" fillId="0" borderId="0" xfId="0"/>
    <xf numFmtId="0" fontId="1" fillId="0" borderId="0" xfId="0" applyFont="1" applyAlignment="1">
      <alignment horizontal="center" vertical="center"/>
    </xf>
    <xf numFmtId="0" fontId="1" fillId="0" borderId="0" xfId="0" applyFont="1"/>
    <xf numFmtId="0" fontId="5" fillId="14" borderId="10" xfId="0" applyFont="1" applyFill="1" applyBorder="1" applyAlignment="1">
      <alignment horizontal="center" vertical="center"/>
    </xf>
    <xf numFmtId="0" fontId="5" fillId="14" borderId="11" xfId="0" applyFont="1" applyFill="1" applyBorder="1" applyAlignment="1">
      <alignment horizontal="center" vertical="center"/>
    </xf>
    <xf numFmtId="0" fontId="5" fillId="14" borderId="12" xfId="0" applyFont="1" applyFill="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5" fillId="14" borderId="11" xfId="0" applyFont="1" applyFill="1" applyBorder="1" applyAlignment="1">
      <alignment horizontal="center" vertical="center" wrapText="1"/>
    </xf>
    <xf numFmtId="3" fontId="1" fillId="11" borderId="11" xfId="0" applyNumberFormat="1" applyFont="1" applyFill="1" applyBorder="1" applyAlignment="1" applyProtection="1">
      <alignment horizontal="center" vertical="center"/>
      <protection locked="0"/>
    </xf>
    <xf numFmtId="3" fontId="1" fillId="5" borderId="18" xfId="0" applyNumberFormat="1" applyFont="1" applyFill="1" applyBorder="1" applyAlignment="1" applyProtection="1">
      <alignment horizontal="center" vertical="center"/>
      <protection locked="0"/>
    </xf>
    <xf numFmtId="3" fontId="1" fillId="5" borderId="2" xfId="0" applyNumberFormat="1" applyFont="1" applyFill="1" applyBorder="1" applyAlignment="1" applyProtection="1">
      <alignment horizontal="center" vertical="center"/>
      <protection locked="0"/>
    </xf>
    <xf numFmtId="0" fontId="5" fillId="14" borderId="22" xfId="0" applyFont="1" applyFill="1" applyBorder="1" applyAlignment="1">
      <alignment horizontal="center" vertical="center" wrapText="1"/>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center" vertical="center"/>
    </xf>
    <xf numFmtId="0" fontId="1" fillId="0" borderId="0" xfId="0" applyFont="1" applyAlignment="1" applyProtection="1">
      <alignment horizontal="center" vertical="center"/>
    </xf>
    <xf numFmtId="0" fontId="1" fillId="7" borderId="11" xfId="0" applyFont="1" applyFill="1" applyBorder="1" applyAlignment="1" applyProtection="1">
      <alignment horizontal="center" vertical="center"/>
    </xf>
    <xf numFmtId="0" fontId="1" fillId="9" borderId="11" xfId="0" applyFont="1" applyFill="1" applyBorder="1" applyAlignment="1" applyProtection="1">
      <alignment horizontal="center" vertical="center"/>
    </xf>
    <xf numFmtId="0" fontId="1" fillId="7" borderId="16" xfId="0" applyFont="1" applyFill="1" applyBorder="1" applyAlignment="1" applyProtection="1">
      <alignment horizontal="center" vertical="center"/>
    </xf>
    <xf numFmtId="0" fontId="1" fillId="4" borderId="17" xfId="0" applyFont="1" applyFill="1" applyBorder="1" applyAlignment="1" applyProtection="1">
      <alignment horizontal="center" vertical="center"/>
    </xf>
    <xf numFmtId="3" fontId="1" fillId="12" borderId="18" xfId="0" applyNumberFormat="1" applyFont="1" applyFill="1" applyBorder="1" applyAlignment="1" applyProtection="1">
      <alignment horizontal="center" vertical="center"/>
    </xf>
    <xf numFmtId="3" fontId="1" fillId="13" borderId="18" xfId="0" applyNumberFormat="1" applyFont="1" applyFill="1" applyBorder="1" applyAlignment="1" applyProtection="1">
      <alignment horizontal="center" vertical="center"/>
    </xf>
    <xf numFmtId="0" fontId="1" fillId="4" borderId="1" xfId="0" applyFont="1" applyFill="1" applyBorder="1" applyAlignment="1" applyProtection="1">
      <alignment horizontal="center" vertical="center"/>
    </xf>
    <xf numFmtId="3" fontId="1" fillId="13" borderId="2" xfId="0" applyNumberFormat="1" applyFont="1" applyFill="1" applyBorder="1" applyAlignment="1" applyProtection="1">
      <alignment horizontal="center" vertical="center"/>
    </xf>
    <xf numFmtId="3" fontId="1" fillId="0" borderId="0" xfId="0" applyNumberFormat="1" applyFont="1" applyAlignment="1">
      <alignment horizontal="center" vertical="center"/>
    </xf>
    <xf numFmtId="164" fontId="1" fillId="0" borderId="0" xfId="0" applyNumberFormat="1" applyFont="1" applyAlignment="1">
      <alignment horizontal="center" vertical="center"/>
    </xf>
    <xf numFmtId="0" fontId="13" fillId="0" borderId="0" xfId="0" applyFont="1" applyAlignment="1">
      <alignment vertical="center" wrapText="1"/>
    </xf>
    <xf numFmtId="3" fontId="13" fillId="0" borderId="0" xfId="0" applyNumberFormat="1" applyFont="1" applyAlignment="1">
      <alignment vertical="center"/>
    </xf>
    <xf numFmtId="0" fontId="13" fillId="0" borderId="0" xfId="0" applyFont="1" applyAlignment="1">
      <alignment vertical="center"/>
    </xf>
    <xf numFmtId="0" fontId="14" fillId="14" borderId="34" xfId="0" applyFont="1" applyFill="1" applyBorder="1" applyAlignment="1">
      <alignment horizontal="center" vertical="center"/>
    </xf>
    <xf numFmtId="3" fontId="1" fillId="4" borderId="7" xfId="0" applyNumberFormat="1" applyFont="1" applyFill="1" applyBorder="1" applyAlignment="1">
      <alignment horizontal="center" vertical="center"/>
    </xf>
    <xf numFmtId="0" fontId="22" fillId="14" borderId="12" xfId="0" applyFont="1" applyFill="1" applyBorder="1" applyAlignment="1">
      <alignment horizontal="center" vertical="center"/>
    </xf>
    <xf numFmtId="3" fontId="17" fillId="14" borderId="11" xfId="0" applyNumberFormat="1" applyFont="1" applyFill="1" applyBorder="1" applyAlignment="1">
      <alignment horizontal="center" vertical="center"/>
    </xf>
    <xf numFmtId="1" fontId="1" fillId="0" borderId="0" xfId="0" applyNumberFormat="1" applyFont="1" applyAlignment="1">
      <alignment horizontal="center" vertical="center"/>
    </xf>
    <xf numFmtId="0" fontId="1" fillId="0" borderId="0" xfId="0" applyNumberFormat="1" applyFont="1" applyAlignment="1">
      <alignment horizontal="center" vertical="center"/>
    </xf>
    <xf numFmtId="165" fontId="1" fillId="0" borderId="0" xfId="0" applyNumberFormat="1" applyFont="1" applyAlignment="1" applyProtection="1">
      <alignment horizontal="center" vertical="center"/>
    </xf>
    <xf numFmtId="167" fontId="1" fillId="11" borderId="11" xfId="0" applyNumberFormat="1" applyFont="1" applyFill="1" applyBorder="1" applyAlignment="1" applyProtection="1">
      <alignment horizontal="center" vertical="center"/>
      <protection locked="0"/>
    </xf>
    <xf numFmtId="166" fontId="1" fillId="0" borderId="0" xfId="0" applyNumberFormat="1" applyFont="1" applyAlignment="1">
      <alignment horizontal="center" vertical="center"/>
    </xf>
    <xf numFmtId="167" fontId="1" fillId="0" borderId="0" xfId="0" applyNumberFormat="1" applyFont="1" applyAlignment="1">
      <alignment horizontal="center" vertical="center"/>
    </xf>
    <xf numFmtId="2" fontId="1" fillId="0" borderId="0" xfId="0" applyNumberFormat="1" applyFont="1" applyAlignment="1">
      <alignment horizontal="center" vertical="center"/>
    </xf>
    <xf numFmtId="0" fontId="1" fillId="0" borderId="0" xfId="0" applyFont="1" applyAlignment="1">
      <alignment horizontal="center" vertical="center" readingOrder="1"/>
    </xf>
    <xf numFmtId="165" fontId="1" fillId="0" borderId="0" xfId="0" applyNumberFormat="1" applyFont="1" applyAlignment="1">
      <alignment horizontal="center" vertical="center"/>
    </xf>
    <xf numFmtId="3" fontId="1" fillId="11" borderId="9" xfId="0" applyNumberFormat="1" applyFont="1" applyFill="1" applyBorder="1" applyAlignment="1">
      <alignment horizontal="center" vertical="center"/>
    </xf>
    <xf numFmtId="0" fontId="14" fillId="3" borderId="0" xfId="0" applyFont="1" applyFill="1" applyBorder="1" applyAlignment="1">
      <alignment horizontal="center" vertical="center"/>
    </xf>
    <xf numFmtId="0" fontId="1" fillId="14" borderId="0" xfId="0" applyFont="1" applyFill="1" applyAlignment="1">
      <alignment horizontal="center" vertical="center"/>
    </xf>
    <xf numFmtId="3" fontId="30" fillId="21" borderId="8" xfId="0" applyNumberFormat="1" applyFont="1" applyFill="1" applyBorder="1" applyAlignment="1">
      <alignment horizontal="center" vertical="center"/>
    </xf>
    <xf numFmtId="3" fontId="30" fillId="13" borderId="8" xfId="0" applyNumberFormat="1" applyFont="1" applyFill="1" applyBorder="1" applyAlignment="1">
      <alignment horizontal="center" vertical="center"/>
    </xf>
    <xf numFmtId="3" fontId="16" fillId="14" borderId="39" xfId="0" applyNumberFormat="1" applyFont="1" applyFill="1" applyBorder="1" applyAlignment="1">
      <alignment horizontal="center" vertical="center"/>
    </xf>
    <xf numFmtId="3" fontId="24" fillId="14" borderId="11" xfId="0" applyNumberFormat="1" applyFont="1" applyFill="1" applyBorder="1" applyAlignment="1">
      <alignment horizontal="center" vertical="center"/>
    </xf>
    <xf numFmtId="3" fontId="16" fillId="14" borderId="12" xfId="0" applyNumberFormat="1" applyFont="1" applyFill="1" applyBorder="1" applyAlignment="1">
      <alignment horizontal="center" vertical="center"/>
    </xf>
    <xf numFmtId="0" fontId="1" fillId="0" borderId="45" xfId="0" applyFont="1" applyBorder="1" applyAlignment="1">
      <alignment horizontal="center" vertical="center"/>
    </xf>
    <xf numFmtId="0" fontId="1" fillId="0" borderId="35" xfId="0" applyFont="1" applyBorder="1" applyAlignment="1">
      <alignment horizontal="center" vertical="center"/>
    </xf>
    <xf numFmtId="0" fontId="1" fillId="0" borderId="46" xfId="0" applyFont="1" applyBorder="1" applyAlignment="1">
      <alignment horizontal="center" vertical="center"/>
    </xf>
    <xf numFmtId="0" fontId="1" fillId="0" borderId="36" xfId="0" applyFont="1" applyBorder="1" applyAlignment="1">
      <alignment horizontal="center" vertical="center"/>
    </xf>
    <xf numFmtId="0" fontId="27" fillId="3" borderId="0" xfId="0" applyFont="1" applyFill="1" applyBorder="1" applyAlignment="1">
      <alignment horizontal="center" vertical="center"/>
    </xf>
    <xf numFmtId="3" fontId="1" fillId="3" borderId="0" xfId="0" applyNumberFormat="1" applyFont="1" applyFill="1" applyBorder="1" applyAlignment="1">
      <alignment horizontal="center" vertical="center"/>
    </xf>
    <xf numFmtId="164" fontId="17" fillId="3" borderId="0" xfId="0" applyNumberFormat="1" applyFont="1" applyFill="1" applyBorder="1" applyAlignment="1">
      <alignment horizontal="center" vertical="center"/>
    </xf>
    <xf numFmtId="3" fontId="30" fillId="3" borderId="0" xfId="0" applyNumberFormat="1" applyFont="1" applyFill="1" applyBorder="1" applyAlignment="1">
      <alignment horizontal="center" vertical="center"/>
    </xf>
    <xf numFmtId="3" fontId="16" fillId="3" borderId="0" xfId="0" applyNumberFormat="1" applyFont="1" applyFill="1" applyBorder="1" applyAlignment="1">
      <alignment horizontal="center" vertical="center"/>
    </xf>
    <xf numFmtId="164" fontId="17" fillId="6" borderId="8" xfId="0" applyNumberFormat="1" applyFont="1" applyFill="1" applyBorder="1" applyAlignment="1">
      <alignment horizontal="center" vertical="center"/>
    </xf>
    <xf numFmtId="164" fontId="17" fillId="6" borderId="2" xfId="0" applyNumberFormat="1" applyFont="1" applyFill="1" applyBorder="1" applyAlignment="1">
      <alignment horizontal="center" vertical="center"/>
    </xf>
    <xf numFmtId="3" fontId="27" fillId="18" borderId="10" xfId="0" applyNumberFormat="1" applyFont="1" applyFill="1" applyBorder="1" applyAlignment="1">
      <alignment horizontal="center" vertical="center"/>
    </xf>
    <xf numFmtId="0" fontId="27" fillId="18" borderId="11" xfId="0" applyFont="1" applyFill="1" applyBorder="1" applyAlignment="1">
      <alignment horizontal="center" vertical="center"/>
    </xf>
    <xf numFmtId="3" fontId="27" fillId="18" borderId="11" xfId="0" applyNumberFormat="1" applyFont="1" applyFill="1" applyBorder="1" applyAlignment="1">
      <alignment horizontal="center" vertical="center"/>
    </xf>
    <xf numFmtId="0" fontId="27" fillId="18" borderId="12" xfId="0" applyFont="1" applyFill="1" applyBorder="1" applyAlignment="1">
      <alignment horizontal="center" vertical="center"/>
    </xf>
    <xf numFmtId="3" fontId="1" fillId="4" borderId="1" xfId="0" applyNumberFormat="1" applyFont="1" applyFill="1" applyBorder="1" applyAlignment="1">
      <alignment horizontal="center" vertical="center"/>
    </xf>
    <xf numFmtId="3" fontId="30" fillId="21" borderId="9" xfId="0" applyNumberFormat="1" applyFont="1" applyFill="1" applyBorder="1" applyAlignment="1">
      <alignment horizontal="center" vertical="center"/>
    </xf>
    <xf numFmtId="164" fontId="27" fillId="18" borderId="11" xfId="0" applyNumberFormat="1" applyFont="1" applyFill="1" applyBorder="1" applyAlignment="1">
      <alignment horizontal="center" vertical="center"/>
    </xf>
    <xf numFmtId="3" fontId="1" fillId="4" borderId="45" xfId="0" applyNumberFormat="1" applyFont="1" applyFill="1" applyBorder="1" applyAlignment="1">
      <alignment horizontal="center" vertical="center"/>
    </xf>
    <xf numFmtId="3" fontId="30" fillId="13" borderId="9" xfId="0" applyNumberFormat="1" applyFont="1" applyFill="1" applyBorder="1" applyAlignment="1">
      <alignment horizontal="center" vertical="center"/>
    </xf>
    <xf numFmtId="3" fontId="24" fillId="14" borderId="12" xfId="0" applyNumberFormat="1" applyFont="1" applyFill="1" applyBorder="1" applyAlignment="1">
      <alignment horizontal="center" vertical="center"/>
    </xf>
    <xf numFmtId="164" fontId="1" fillId="5" borderId="8" xfId="0" applyNumberFormat="1" applyFont="1" applyFill="1" applyBorder="1" applyAlignment="1" applyProtection="1">
      <alignment horizontal="center" vertical="center"/>
      <protection locked="0"/>
    </xf>
    <xf numFmtId="3" fontId="1" fillId="12" borderId="8" xfId="0" applyNumberFormat="1" applyFont="1" applyFill="1" applyBorder="1" applyAlignment="1" applyProtection="1">
      <alignment horizontal="center" vertical="center"/>
      <protection locked="0"/>
    </xf>
    <xf numFmtId="164" fontId="1" fillId="5" borderId="2" xfId="0" applyNumberFormat="1" applyFont="1" applyFill="1" applyBorder="1" applyAlignment="1" applyProtection="1">
      <alignment horizontal="center" vertical="center"/>
      <protection locked="0"/>
    </xf>
    <xf numFmtId="3" fontId="1" fillId="12" borderId="2" xfId="0" applyNumberFormat="1" applyFont="1" applyFill="1" applyBorder="1" applyAlignment="1" applyProtection="1">
      <alignment horizontal="center" vertical="center"/>
      <protection locked="0"/>
    </xf>
    <xf numFmtId="3" fontId="1" fillId="12" borderId="35" xfId="0" applyNumberFormat="1" applyFont="1" applyFill="1" applyBorder="1" applyAlignment="1" applyProtection="1">
      <alignment horizontal="center" vertical="center"/>
      <protection locked="0"/>
    </xf>
    <xf numFmtId="0" fontId="3" fillId="2" borderId="10"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1" xfId="0" applyFont="1" applyFill="1" applyBorder="1" applyAlignment="1">
      <alignment horizontal="center" vertical="center" wrapText="1"/>
    </xf>
    <xf numFmtId="0" fontId="3" fillId="4" borderId="7" xfId="0" applyFont="1" applyFill="1" applyBorder="1" applyAlignment="1">
      <alignment horizontal="center" vertical="center"/>
    </xf>
    <xf numFmtId="0" fontId="3" fillId="3" borderId="0" xfId="0" applyFont="1" applyFill="1" applyAlignment="1">
      <alignment horizontal="center" vertical="center"/>
    </xf>
    <xf numFmtId="49" fontId="1" fillId="0" borderId="0" xfId="0" applyNumberFormat="1" applyFont="1" applyAlignment="1">
      <alignment horizontal="center" vertical="center"/>
    </xf>
    <xf numFmtId="3" fontId="4" fillId="3" borderId="51" xfId="0" applyNumberFormat="1" applyFont="1" applyFill="1" applyBorder="1" applyAlignment="1">
      <alignment horizontal="center" vertical="center"/>
    </xf>
    <xf numFmtId="0" fontId="30" fillId="0" borderId="0" xfId="0" applyFont="1" applyAlignment="1">
      <alignment horizontal="right" vertical="center"/>
    </xf>
    <xf numFmtId="3" fontId="18" fillId="20" borderId="40" xfId="0" applyNumberFormat="1" applyFont="1" applyFill="1" applyBorder="1" applyAlignment="1">
      <alignment horizontal="center" vertical="center"/>
    </xf>
    <xf numFmtId="3" fontId="16" fillId="20" borderId="40" xfId="0" applyNumberFormat="1" applyFont="1" applyFill="1" applyBorder="1" applyAlignment="1">
      <alignment horizontal="center" vertical="center"/>
    </xf>
    <xf numFmtId="3" fontId="3" fillId="6" borderId="8" xfId="0" applyNumberFormat="1" applyFont="1" applyFill="1" applyBorder="1" applyAlignment="1">
      <alignment horizontal="center" vertical="center"/>
    </xf>
    <xf numFmtId="3" fontId="3" fillId="8" borderId="8" xfId="0" applyNumberFormat="1" applyFont="1" applyFill="1" applyBorder="1" applyAlignment="1">
      <alignment horizontal="center" vertical="center"/>
    </xf>
    <xf numFmtId="3" fontId="3" fillId="8" borderId="53" xfId="0" applyNumberFormat="1" applyFont="1" applyFill="1" applyBorder="1" applyAlignment="1">
      <alignment horizontal="center" vertical="center"/>
    </xf>
    <xf numFmtId="3" fontId="1" fillId="7" borderId="8" xfId="0" applyNumberFormat="1" applyFont="1" applyFill="1" applyBorder="1" applyAlignment="1">
      <alignment horizontal="center" vertical="center"/>
    </xf>
    <xf numFmtId="3" fontId="1" fillId="7" borderId="53" xfId="0" applyNumberFormat="1" applyFont="1" applyFill="1" applyBorder="1" applyAlignment="1">
      <alignment horizontal="center" vertical="center"/>
    </xf>
    <xf numFmtId="3" fontId="1" fillId="10" borderId="9" xfId="0" applyNumberFormat="1" applyFont="1" applyFill="1" applyBorder="1" applyAlignment="1">
      <alignment horizontal="center" vertical="center"/>
    </xf>
    <xf numFmtId="0" fontId="47"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1" xfId="0" applyFont="1" applyFill="1" applyBorder="1" applyAlignment="1">
      <alignment horizontal="center" vertical="center" wrapText="1"/>
    </xf>
    <xf numFmtId="1" fontId="6" fillId="2" borderId="11"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0" fontId="6" fillId="2" borderId="12" xfId="0" applyFont="1" applyFill="1" applyBorder="1" applyAlignment="1">
      <alignment horizontal="center" vertical="center"/>
    </xf>
    <xf numFmtId="0" fontId="35" fillId="21" borderId="2" xfId="0" applyFont="1" applyFill="1" applyBorder="1" applyAlignment="1" applyProtection="1">
      <alignment horizontal="center" vertical="center"/>
      <protection locked="0"/>
    </xf>
    <xf numFmtId="0" fontId="49" fillId="25" borderId="2" xfId="0" applyFont="1" applyFill="1" applyBorder="1" applyAlignment="1" applyProtection="1">
      <alignment horizontal="center" vertical="center"/>
      <protection locked="0"/>
    </xf>
    <xf numFmtId="1" fontId="35" fillId="26" borderId="2" xfId="0" applyNumberFormat="1" applyFont="1" applyFill="1" applyBorder="1" applyAlignment="1" applyProtection="1">
      <alignment horizontal="center" vertical="center"/>
      <protection locked="0"/>
    </xf>
    <xf numFmtId="0" fontId="35" fillId="28" borderId="2" xfId="0" applyFont="1" applyFill="1" applyBorder="1" applyAlignment="1" applyProtection="1">
      <alignment horizontal="center" vertical="center"/>
      <protection locked="0"/>
    </xf>
    <xf numFmtId="49" fontId="35" fillId="27" borderId="2" xfId="0" applyNumberFormat="1" applyFont="1" applyFill="1" applyBorder="1" applyAlignment="1" applyProtection="1">
      <alignment horizontal="center" vertical="center"/>
      <protection locked="0"/>
    </xf>
    <xf numFmtId="49" fontId="35" fillId="13" borderId="2" xfId="0" applyNumberFormat="1" applyFont="1" applyFill="1" applyBorder="1" applyAlignment="1" applyProtection="1">
      <alignment horizontal="center" vertical="center"/>
      <protection locked="0"/>
    </xf>
    <xf numFmtId="49" fontId="35" fillId="12" borderId="2" xfId="0" applyNumberFormat="1" applyFont="1" applyFill="1" applyBorder="1" applyAlignment="1" applyProtection="1">
      <alignment horizontal="center" vertical="center"/>
      <protection locked="0"/>
    </xf>
    <xf numFmtId="0" fontId="35" fillId="8" borderId="5" xfId="0" applyFont="1" applyFill="1" applyBorder="1" applyAlignment="1" applyProtection="1">
      <alignment horizontal="center" vertical="center"/>
      <protection locked="0"/>
    </xf>
    <xf numFmtId="0" fontId="35" fillId="21" borderId="5" xfId="0" applyFont="1" applyFill="1" applyBorder="1" applyAlignment="1" applyProtection="1">
      <alignment horizontal="center" vertical="center"/>
      <protection locked="0"/>
    </xf>
    <xf numFmtId="0" fontId="49" fillId="25" borderId="5" xfId="0" applyFont="1" applyFill="1" applyBorder="1" applyAlignment="1" applyProtection="1">
      <alignment horizontal="center" vertical="center"/>
      <protection locked="0"/>
    </xf>
    <xf numFmtId="1" fontId="35" fillId="26" borderId="5" xfId="0" applyNumberFormat="1" applyFont="1" applyFill="1" applyBorder="1" applyAlignment="1" applyProtection="1">
      <alignment horizontal="center" vertical="center"/>
      <protection locked="0"/>
    </xf>
    <xf numFmtId="0" fontId="35" fillId="28" borderId="5" xfId="0" applyFont="1" applyFill="1" applyBorder="1" applyAlignment="1" applyProtection="1">
      <alignment horizontal="center" vertical="center"/>
      <protection locked="0"/>
    </xf>
    <xf numFmtId="49" fontId="35" fillId="27" borderId="5" xfId="0" applyNumberFormat="1" applyFont="1" applyFill="1" applyBorder="1" applyAlignment="1" applyProtection="1">
      <alignment horizontal="center" vertical="center"/>
      <protection locked="0"/>
    </xf>
    <xf numFmtId="49" fontId="35" fillId="13" borderId="5" xfId="0" applyNumberFormat="1" applyFont="1" applyFill="1" applyBorder="1" applyAlignment="1" applyProtection="1">
      <alignment horizontal="center" vertical="center"/>
      <protection locked="0"/>
    </xf>
    <xf numFmtId="49" fontId="35" fillId="12" borderId="5" xfId="0" applyNumberFormat="1" applyFont="1" applyFill="1" applyBorder="1" applyAlignment="1" applyProtection="1">
      <alignment horizontal="center" vertical="center"/>
      <protection locked="0"/>
    </xf>
    <xf numFmtId="3" fontId="41" fillId="6" borderId="40" xfId="0" applyNumberFormat="1" applyFont="1" applyFill="1" applyBorder="1" applyAlignment="1" applyProtection="1">
      <alignment horizontal="center" vertical="center"/>
      <protection locked="0"/>
    </xf>
    <xf numFmtId="3" fontId="5" fillId="6" borderId="40" xfId="0" applyNumberFormat="1" applyFont="1" applyFill="1" applyBorder="1" applyAlignment="1" applyProtection="1">
      <alignment horizontal="center" vertical="center"/>
      <protection locked="0"/>
    </xf>
    <xf numFmtId="0" fontId="39" fillId="3" borderId="0" xfId="0" applyFont="1" applyFill="1" applyAlignment="1" applyProtection="1">
      <alignment horizontal="center" vertical="center"/>
      <protection locked="0"/>
    </xf>
    <xf numFmtId="0" fontId="40" fillId="3" borderId="0" xfId="0" applyFont="1" applyFill="1" applyAlignment="1" applyProtection="1">
      <alignment horizontal="center" vertical="center"/>
      <protection locked="0"/>
    </xf>
    <xf numFmtId="1" fontId="3" fillId="24" borderId="8" xfId="0" applyNumberFormat="1" applyFont="1" applyFill="1" applyBorder="1" applyAlignment="1" applyProtection="1">
      <alignment horizontal="center" vertical="center"/>
      <protection locked="0"/>
    </xf>
    <xf numFmtId="1" fontId="3" fillId="24" borderId="53" xfId="0" applyNumberFormat="1" applyFont="1" applyFill="1" applyBorder="1" applyAlignment="1" applyProtection="1">
      <alignment horizontal="center" vertical="center"/>
      <protection locked="0"/>
    </xf>
    <xf numFmtId="0" fontId="3" fillId="8" borderId="8" xfId="0" applyFont="1" applyFill="1" applyBorder="1" applyAlignment="1" applyProtection="1">
      <alignment horizontal="center" vertical="center"/>
      <protection locked="0"/>
    </xf>
    <xf numFmtId="0" fontId="1" fillId="7" borderId="8" xfId="0" applyFont="1" applyFill="1" applyBorder="1" applyAlignment="1" applyProtection="1">
      <alignment horizontal="center" vertical="center"/>
      <protection locked="0"/>
    </xf>
    <xf numFmtId="3" fontId="1" fillId="23" borderId="8" xfId="0" applyNumberFormat="1" applyFont="1" applyFill="1" applyBorder="1" applyAlignment="1" applyProtection="1">
      <alignment horizontal="center" vertical="center"/>
      <protection locked="0"/>
    </xf>
    <xf numFmtId="0" fontId="1" fillId="7" borderId="53" xfId="0" applyFont="1" applyFill="1" applyBorder="1" applyAlignment="1" applyProtection="1">
      <alignment horizontal="center" vertical="center"/>
      <protection locked="0"/>
    </xf>
    <xf numFmtId="3" fontId="1" fillId="23" borderId="35" xfId="0" applyNumberFormat="1" applyFont="1" applyFill="1" applyBorder="1" applyAlignment="1" applyProtection="1">
      <alignment horizontal="center" vertical="center"/>
      <protection locked="0"/>
    </xf>
    <xf numFmtId="0" fontId="1" fillId="6" borderId="8" xfId="0" applyFont="1" applyFill="1" applyBorder="1" applyAlignment="1" applyProtection="1">
      <alignment horizontal="center" vertical="center"/>
      <protection locked="0"/>
    </xf>
    <xf numFmtId="0" fontId="1" fillId="6" borderId="53" xfId="0" applyFont="1" applyFill="1" applyBorder="1" applyAlignment="1" applyProtection="1">
      <alignment horizontal="center" vertical="center"/>
      <protection locked="0"/>
    </xf>
    <xf numFmtId="0" fontId="1" fillId="29" borderId="9" xfId="0" applyFont="1" applyFill="1" applyBorder="1" applyAlignment="1" applyProtection="1">
      <alignment horizontal="center" vertical="center"/>
      <protection locked="0"/>
    </xf>
    <xf numFmtId="3" fontId="1" fillId="20" borderId="8" xfId="0" applyNumberFormat="1" applyFont="1" applyFill="1" applyBorder="1" applyAlignment="1" applyProtection="1">
      <alignment horizontal="center" vertical="center"/>
      <protection locked="0"/>
    </xf>
    <xf numFmtId="3" fontId="1" fillId="20" borderId="2" xfId="0" applyNumberFormat="1" applyFont="1" applyFill="1" applyBorder="1" applyAlignment="1" applyProtection="1">
      <alignment horizontal="center" vertical="center"/>
      <protection locked="0"/>
    </xf>
    <xf numFmtId="3" fontId="1" fillId="20" borderId="35" xfId="0" applyNumberFormat="1" applyFont="1" applyFill="1" applyBorder="1" applyAlignment="1" applyProtection="1">
      <alignment horizontal="center" vertical="center"/>
      <protection locked="0"/>
    </xf>
    <xf numFmtId="0" fontId="1" fillId="30" borderId="8" xfId="0" applyFont="1" applyFill="1" applyBorder="1" applyAlignment="1" applyProtection="1">
      <alignment horizontal="center" vertical="center"/>
      <protection locked="0"/>
    </xf>
    <xf numFmtId="3" fontId="1" fillId="0" borderId="0" xfId="0" applyNumberFormat="1" applyFont="1" applyAlignment="1" applyProtection="1">
      <alignment horizontal="center" vertical="center"/>
    </xf>
    <xf numFmtId="3" fontId="1" fillId="15" borderId="19" xfId="0" applyNumberFormat="1" applyFont="1" applyFill="1" applyBorder="1" applyAlignment="1" applyProtection="1">
      <alignment horizontal="center" vertical="center"/>
    </xf>
    <xf numFmtId="3" fontId="1" fillId="15" borderId="3" xfId="0" applyNumberFormat="1" applyFont="1" applyFill="1" applyBorder="1" applyAlignment="1" applyProtection="1">
      <alignment horizontal="center" vertical="center"/>
    </xf>
    <xf numFmtId="0" fontId="1" fillId="4" borderId="4" xfId="0" applyFont="1" applyFill="1" applyBorder="1" applyAlignment="1" applyProtection="1">
      <alignment horizontal="center" vertical="center"/>
    </xf>
    <xf numFmtId="3" fontId="1" fillId="5" borderId="5" xfId="0" applyNumberFormat="1" applyFont="1" applyFill="1" applyBorder="1" applyAlignment="1" applyProtection="1">
      <alignment horizontal="center" vertical="center"/>
      <protection locked="0"/>
    </xf>
    <xf numFmtId="3" fontId="1" fillId="13" borderId="5" xfId="0" applyNumberFormat="1" applyFont="1" applyFill="1" applyBorder="1" applyAlignment="1" applyProtection="1">
      <alignment horizontal="center" vertical="center"/>
    </xf>
    <xf numFmtId="3" fontId="1" fillId="15" borderId="6" xfId="0" applyNumberFormat="1" applyFont="1" applyFill="1" applyBorder="1" applyAlignment="1" applyProtection="1">
      <alignment horizontal="center" vertical="center"/>
    </xf>
    <xf numFmtId="3" fontId="9" fillId="14" borderId="11" xfId="0" applyNumberFormat="1" applyFont="1" applyFill="1" applyBorder="1" applyAlignment="1" applyProtection="1">
      <alignment horizontal="center" vertical="center"/>
    </xf>
    <xf numFmtId="3" fontId="10" fillId="14" borderId="11" xfId="0" applyNumberFormat="1" applyFont="1" applyFill="1" applyBorder="1" applyAlignment="1" applyProtection="1">
      <alignment horizontal="center" vertical="center"/>
    </xf>
    <xf numFmtId="3" fontId="11" fillId="14" borderId="11" xfId="0" applyNumberFormat="1" applyFont="1" applyFill="1" applyBorder="1" applyAlignment="1" applyProtection="1">
      <alignment horizontal="center" vertical="center"/>
    </xf>
    <xf numFmtId="3" fontId="12" fillId="14" borderId="12" xfId="0" applyNumberFormat="1"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3" fontId="1" fillId="3" borderId="0" xfId="0" applyNumberFormat="1" applyFont="1" applyFill="1" applyBorder="1" applyAlignment="1" applyProtection="1">
      <alignment horizontal="center" vertical="center"/>
      <protection locked="0"/>
    </xf>
    <xf numFmtId="0" fontId="1" fillId="20" borderId="18" xfId="0" applyFont="1" applyFill="1" applyBorder="1" applyAlignment="1" applyProtection="1">
      <alignment horizontal="center" vertical="center"/>
    </xf>
    <xf numFmtId="0" fontId="1" fillId="20" borderId="2" xfId="0" applyFont="1" applyFill="1" applyBorder="1" applyAlignment="1" applyProtection="1">
      <alignment horizontal="center" vertical="center"/>
    </xf>
    <xf numFmtId="0" fontId="1" fillId="20" borderId="5" xfId="0" applyFont="1" applyFill="1" applyBorder="1" applyAlignment="1" applyProtection="1">
      <alignment horizontal="center" vertical="center"/>
    </xf>
    <xf numFmtId="0" fontId="1" fillId="3" borderId="0" xfId="0" applyFont="1" applyFill="1" applyAlignment="1" applyProtection="1">
      <alignment horizontal="center" vertical="center"/>
    </xf>
    <xf numFmtId="14" fontId="1" fillId="3" borderId="0" xfId="0" applyNumberFormat="1" applyFont="1" applyFill="1" applyAlignment="1" applyProtection="1">
      <alignment horizontal="center" vertical="center"/>
    </xf>
    <xf numFmtId="0" fontId="5" fillId="3" borderId="63" xfId="0" applyFont="1" applyFill="1" applyBorder="1" applyAlignment="1" applyProtection="1">
      <alignment horizontal="center" vertical="center"/>
    </xf>
    <xf numFmtId="0" fontId="6" fillId="3" borderId="49" xfId="0" applyFont="1" applyFill="1" applyBorder="1" applyAlignment="1" applyProtection="1">
      <alignment horizontal="center" vertical="center" wrapText="1"/>
    </xf>
    <xf numFmtId="3" fontId="1" fillId="29" borderId="18" xfId="0" applyNumberFormat="1" applyFont="1" applyFill="1" applyBorder="1" applyAlignment="1" applyProtection="1">
      <alignment horizontal="center" vertical="center"/>
      <protection locked="0"/>
    </xf>
    <xf numFmtId="3" fontId="1" fillId="29" borderId="2" xfId="0" applyNumberFormat="1" applyFont="1" applyFill="1" applyBorder="1" applyAlignment="1" applyProtection="1">
      <alignment horizontal="center" vertical="center"/>
      <protection locked="0"/>
    </xf>
    <xf numFmtId="3" fontId="1" fillId="23" borderId="11" xfId="0" applyNumberFormat="1" applyFont="1" applyFill="1" applyBorder="1" applyAlignment="1" applyProtection="1">
      <alignment horizontal="center" vertical="center"/>
    </xf>
    <xf numFmtId="3" fontId="1" fillId="11" borderId="18" xfId="0" applyNumberFormat="1" applyFont="1" applyFill="1" applyBorder="1" applyAlignment="1" applyProtection="1">
      <alignment horizontal="center" vertical="center"/>
    </xf>
    <xf numFmtId="3" fontId="1" fillId="11" borderId="2" xfId="0" applyNumberFormat="1" applyFont="1" applyFill="1" applyBorder="1" applyAlignment="1" applyProtection="1">
      <alignment horizontal="center" vertical="center"/>
    </xf>
    <xf numFmtId="3" fontId="1" fillId="11" borderId="5" xfId="0" applyNumberFormat="1" applyFont="1" applyFill="1" applyBorder="1" applyAlignment="1" applyProtection="1">
      <alignment horizontal="center" vertical="center"/>
    </xf>
    <xf numFmtId="3" fontId="1" fillId="29" borderId="5" xfId="0" applyNumberFormat="1" applyFont="1" applyFill="1" applyBorder="1" applyAlignment="1" applyProtection="1">
      <alignment horizontal="center" vertical="center"/>
      <protection locked="0"/>
    </xf>
    <xf numFmtId="3" fontId="1" fillId="12" borderId="2" xfId="0" applyNumberFormat="1" applyFont="1" applyFill="1" applyBorder="1" applyAlignment="1" applyProtection="1">
      <alignment horizontal="center" vertical="center"/>
    </xf>
    <xf numFmtId="3" fontId="1" fillId="12" borderId="5" xfId="0" applyNumberFormat="1" applyFont="1" applyFill="1" applyBorder="1" applyAlignment="1" applyProtection="1">
      <alignment horizontal="center" vertical="center"/>
    </xf>
    <xf numFmtId="3" fontId="5" fillId="15" borderId="66" xfId="0" applyNumberFormat="1" applyFont="1" applyFill="1" applyBorder="1" applyAlignment="1" applyProtection="1">
      <alignment horizontal="center" vertical="center"/>
      <protection locked="0"/>
    </xf>
    <xf numFmtId="0" fontId="1" fillId="2" borderId="20" xfId="0" applyFont="1" applyFill="1" applyBorder="1" applyAlignment="1" applyProtection="1">
      <alignment horizontal="center" vertical="center" wrapText="1"/>
    </xf>
    <xf numFmtId="0" fontId="1" fillId="2" borderId="21" xfId="0" applyFont="1" applyFill="1" applyBorder="1" applyAlignment="1" applyProtection="1">
      <alignment horizontal="center" vertical="center" wrapText="1"/>
    </xf>
    <xf numFmtId="3" fontId="1" fillId="0" borderId="38" xfId="0" applyNumberFormat="1" applyFont="1" applyBorder="1" applyAlignment="1" applyProtection="1">
      <alignment vertical="center"/>
    </xf>
    <xf numFmtId="0" fontId="48" fillId="4" borderId="17" xfId="0" applyFont="1" applyFill="1" applyBorder="1" applyAlignment="1">
      <alignment horizontal="center" vertical="center"/>
    </xf>
    <xf numFmtId="0" fontId="35" fillId="8" borderId="18" xfId="0" applyFont="1" applyFill="1" applyBorder="1" applyAlignment="1" applyProtection="1">
      <alignment horizontal="center" vertical="center"/>
      <protection locked="0"/>
    </xf>
    <xf numFmtId="0" fontId="35" fillId="21" borderId="18" xfId="0" applyFont="1" applyFill="1" applyBorder="1" applyAlignment="1" applyProtection="1">
      <alignment horizontal="center" vertical="center"/>
      <protection locked="0"/>
    </xf>
    <xf numFmtId="0" fontId="49" fillId="25" borderId="18" xfId="0" applyFont="1" applyFill="1" applyBorder="1" applyAlignment="1" applyProtection="1">
      <alignment horizontal="center" vertical="center"/>
      <protection locked="0"/>
    </xf>
    <xf numFmtId="1" fontId="35" fillId="26" borderId="18" xfId="0" applyNumberFormat="1" applyFont="1" applyFill="1" applyBorder="1" applyAlignment="1" applyProtection="1">
      <alignment horizontal="center" vertical="center"/>
      <protection locked="0"/>
    </xf>
    <xf numFmtId="0" fontId="35" fillId="28" borderId="18" xfId="0" applyFont="1" applyFill="1" applyBorder="1" applyAlignment="1" applyProtection="1">
      <alignment horizontal="center" vertical="center"/>
      <protection locked="0"/>
    </xf>
    <xf numFmtId="49" fontId="35" fillId="27" borderId="18" xfId="0" applyNumberFormat="1" applyFont="1" applyFill="1" applyBorder="1" applyAlignment="1" applyProtection="1">
      <alignment horizontal="center" vertical="center"/>
      <protection locked="0"/>
    </xf>
    <xf numFmtId="49" fontId="35" fillId="13" borderId="18" xfId="0" applyNumberFormat="1" applyFont="1" applyFill="1" applyBorder="1" applyAlignment="1" applyProtection="1">
      <alignment horizontal="center" vertical="center"/>
      <protection locked="0"/>
    </xf>
    <xf numFmtId="49" fontId="35" fillId="12" borderId="18" xfId="0" applyNumberFormat="1" applyFont="1" applyFill="1" applyBorder="1" applyAlignment="1" applyProtection="1">
      <alignment horizontal="center" vertical="center"/>
      <protection locked="0"/>
    </xf>
    <xf numFmtId="164" fontId="50" fillId="5" borderId="18" xfId="0" applyNumberFormat="1" applyFont="1" applyFill="1" applyBorder="1" applyAlignment="1" applyProtection="1">
      <alignment horizontal="center" vertical="center"/>
      <protection locked="0"/>
    </xf>
    <xf numFmtId="164" fontId="49" fillId="5" borderId="18" xfId="0" applyNumberFormat="1" applyFont="1" applyFill="1" applyBorder="1" applyAlignment="1" applyProtection="1">
      <alignment horizontal="center" vertical="center"/>
      <protection locked="0"/>
    </xf>
    <xf numFmtId="0" fontId="35" fillId="23" borderId="19" xfId="0" applyFont="1" applyFill="1" applyBorder="1" applyAlignment="1" applyProtection="1">
      <alignment horizontal="center" vertical="center" readingOrder="2"/>
      <protection locked="0"/>
    </xf>
    <xf numFmtId="0" fontId="48" fillId="4" borderId="1" xfId="0" applyFont="1" applyFill="1" applyBorder="1" applyAlignment="1">
      <alignment horizontal="center" vertical="center"/>
    </xf>
    <xf numFmtId="0" fontId="35" fillId="8" borderId="2" xfId="0" applyFont="1" applyFill="1" applyBorder="1" applyAlignment="1" applyProtection="1">
      <alignment horizontal="center" vertical="center"/>
      <protection locked="0"/>
    </xf>
    <xf numFmtId="164" fontId="50" fillId="5" borderId="2" xfId="0" applyNumberFormat="1" applyFont="1" applyFill="1" applyBorder="1" applyAlignment="1" applyProtection="1">
      <alignment horizontal="center" vertical="center"/>
      <protection locked="0"/>
    </xf>
    <xf numFmtId="164" fontId="49" fillId="5" borderId="2" xfId="0" applyNumberFormat="1" applyFont="1" applyFill="1" applyBorder="1" applyAlignment="1" applyProtection="1">
      <alignment horizontal="center" vertical="center"/>
      <protection locked="0"/>
    </xf>
    <xf numFmtId="0" fontId="35" fillId="23" borderId="3" xfId="0" applyFont="1" applyFill="1" applyBorder="1" applyAlignment="1" applyProtection="1">
      <alignment horizontal="center" vertical="center" readingOrder="2"/>
      <protection locked="0"/>
    </xf>
    <xf numFmtId="0" fontId="48" fillId="4" borderId="4" xfId="0" applyFont="1" applyFill="1" applyBorder="1" applyAlignment="1">
      <alignment horizontal="center" vertical="center"/>
    </xf>
    <xf numFmtId="164" fontId="50" fillId="5" borderId="5" xfId="0" applyNumberFormat="1" applyFont="1" applyFill="1" applyBorder="1" applyAlignment="1" applyProtection="1">
      <alignment horizontal="center" vertical="center"/>
      <protection locked="0"/>
    </xf>
    <xf numFmtId="164" fontId="49" fillId="5" borderId="5" xfId="0" applyNumberFormat="1" applyFont="1" applyFill="1" applyBorder="1" applyAlignment="1" applyProtection="1">
      <alignment horizontal="center" vertical="center"/>
      <protection locked="0"/>
    </xf>
    <xf numFmtId="0" fontId="35" fillId="23" borderId="6" xfId="0" applyFont="1" applyFill="1" applyBorder="1" applyAlignment="1" applyProtection="1">
      <alignment horizontal="center" vertical="center" readingOrder="2"/>
      <protection locked="0"/>
    </xf>
    <xf numFmtId="0" fontId="3" fillId="5" borderId="8" xfId="0" applyFont="1" applyFill="1" applyBorder="1" applyAlignment="1" applyProtection="1">
      <alignment horizontal="center" vertical="center"/>
    </xf>
    <xf numFmtId="0" fontId="35" fillId="5" borderId="18" xfId="0" applyFont="1" applyFill="1" applyBorder="1" applyAlignment="1" applyProtection="1">
      <alignment horizontal="center" vertical="center"/>
      <protection locked="0"/>
    </xf>
    <xf numFmtId="0" fontId="35" fillId="5" borderId="2" xfId="0" applyFont="1" applyFill="1" applyBorder="1" applyAlignment="1" applyProtection="1">
      <alignment horizontal="center" vertical="center"/>
      <protection locked="0"/>
    </xf>
    <xf numFmtId="0" fontId="35" fillId="5" borderId="5" xfId="0" applyFont="1" applyFill="1" applyBorder="1" applyAlignment="1" applyProtection="1">
      <alignment horizontal="center" vertical="center"/>
      <protection locked="0"/>
    </xf>
    <xf numFmtId="0" fontId="4" fillId="3" borderId="38" xfId="0" applyFont="1" applyFill="1" applyBorder="1" applyAlignment="1" applyProtection="1">
      <alignment horizontal="center" vertical="center"/>
    </xf>
    <xf numFmtId="0" fontId="52" fillId="14" borderId="0" xfId="0" applyFont="1" applyFill="1"/>
    <xf numFmtId="0" fontId="55" fillId="3" borderId="0" xfId="0" applyFont="1" applyFill="1" applyAlignment="1">
      <alignment vertical="center"/>
    </xf>
    <xf numFmtId="0" fontId="57" fillId="0" borderId="0" xfId="0" applyFont="1"/>
    <xf numFmtId="0" fontId="58" fillId="5" borderId="18" xfId="0" applyFont="1" applyFill="1" applyBorder="1" applyAlignment="1" applyProtection="1">
      <alignment horizontal="center" vertical="center"/>
      <protection locked="0"/>
    </xf>
    <xf numFmtId="0" fontId="58" fillId="5" borderId="2" xfId="0" applyFont="1" applyFill="1" applyBorder="1" applyAlignment="1" applyProtection="1">
      <alignment horizontal="center" vertical="center"/>
      <protection locked="0"/>
    </xf>
    <xf numFmtId="0" fontId="58" fillId="5" borderId="5" xfId="0" applyFont="1" applyFill="1" applyBorder="1" applyAlignment="1" applyProtection="1">
      <alignment horizontal="center" vertical="center"/>
      <protection locked="0"/>
    </xf>
    <xf numFmtId="0" fontId="1" fillId="15" borderId="12" xfId="0" applyFont="1" applyFill="1" applyBorder="1" applyAlignment="1">
      <alignment horizontal="center" vertical="center" wrapText="1"/>
    </xf>
    <xf numFmtId="3" fontId="4" fillId="16" borderId="37" xfId="0" applyNumberFormat="1" applyFont="1" applyFill="1" applyBorder="1" applyAlignment="1">
      <alignment horizontal="center" vertical="center"/>
    </xf>
    <xf numFmtId="3" fontId="4" fillId="16" borderId="38" xfId="0" applyNumberFormat="1" applyFont="1" applyFill="1" applyBorder="1" applyAlignment="1">
      <alignment horizontal="center" vertical="center"/>
    </xf>
    <xf numFmtId="3" fontId="4" fillId="16" borderId="40" xfId="0" applyNumberFormat="1" applyFont="1" applyFill="1" applyBorder="1" applyAlignment="1">
      <alignment horizontal="center" vertical="center"/>
    </xf>
    <xf numFmtId="0" fontId="38" fillId="10" borderId="37" xfId="0" applyFont="1" applyFill="1" applyBorder="1" applyAlignment="1">
      <alignment horizontal="center" vertical="center"/>
    </xf>
    <xf numFmtId="0" fontId="38" fillId="10" borderId="38" xfId="0" applyFont="1" applyFill="1" applyBorder="1" applyAlignment="1">
      <alignment horizontal="center" vertical="center"/>
    </xf>
    <xf numFmtId="0" fontId="38" fillId="10" borderId="40" xfId="0" applyFont="1" applyFill="1" applyBorder="1" applyAlignment="1">
      <alignment horizontal="center" vertical="center"/>
    </xf>
    <xf numFmtId="0" fontId="3" fillId="8" borderId="37" xfId="0" applyFont="1" applyFill="1" applyBorder="1" applyAlignment="1">
      <alignment horizontal="center" vertical="center"/>
    </xf>
    <xf numFmtId="0" fontId="3" fillId="8" borderId="38" xfId="0" applyFont="1" applyFill="1" applyBorder="1" applyAlignment="1">
      <alignment horizontal="center" vertical="center"/>
    </xf>
    <xf numFmtId="0" fontId="45" fillId="7" borderId="37" xfId="0" applyFont="1" applyFill="1" applyBorder="1" applyAlignment="1">
      <alignment horizontal="center" vertical="center"/>
    </xf>
    <xf numFmtId="0" fontId="45" fillId="7" borderId="38" xfId="0" applyFont="1" applyFill="1" applyBorder="1" applyAlignment="1">
      <alignment horizontal="center" vertical="center"/>
    </xf>
    <xf numFmtId="0" fontId="1" fillId="8" borderId="37" xfId="0" applyFont="1" applyFill="1" applyBorder="1" applyAlignment="1">
      <alignment horizontal="center" vertical="center"/>
    </xf>
    <xf numFmtId="0" fontId="1" fillId="8" borderId="38" xfId="0" applyFont="1" applyFill="1" applyBorder="1" applyAlignment="1">
      <alignment horizontal="center" vertical="center"/>
    </xf>
    <xf numFmtId="0" fontId="44" fillId="18" borderId="37" xfId="0" applyFont="1" applyFill="1" applyBorder="1" applyAlignment="1">
      <alignment horizontal="center" vertical="center"/>
    </xf>
    <xf numFmtId="0" fontId="44" fillId="18" borderId="38" xfId="0" applyFont="1" applyFill="1" applyBorder="1" applyAlignment="1">
      <alignment horizontal="center" vertical="center"/>
    </xf>
    <xf numFmtId="0" fontId="42" fillId="14" borderId="37" xfId="0" applyFont="1" applyFill="1" applyBorder="1" applyAlignment="1">
      <alignment horizontal="center" vertical="center"/>
    </xf>
    <xf numFmtId="0" fontId="42" fillId="14" borderId="38" xfId="0" applyFont="1" applyFill="1" applyBorder="1" applyAlignment="1">
      <alignment horizontal="center" vertical="center"/>
    </xf>
    <xf numFmtId="0" fontId="37" fillId="3" borderId="0" xfId="0" applyFont="1" applyFill="1" applyAlignment="1">
      <alignment horizontal="center" vertical="center"/>
    </xf>
    <xf numFmtId="0" fontId="46" fillId="14" borderId="41" xfId="0" applyFont="1" applyFill="1" applyBorder="1" applyAlignment="1">
      <alignment horizontal="center" vertical="center"/>
    </xf>
    <xf numFmtId="0" fontId="46" fillId="14" borderId="20" xfId="0" applyFont="1" applyFill="1" applyBorder="1" applyAlignment="1">
      <alignment horizontal="center" vertical="center"/>
    </xf>
    <xf numFmtId="0" fontId="46" fillId="14" borderId="55" xfId="0" applyFont="1" applyFill="1" applyBorder="1" applyAlignment="1">
      <alignment horizontal="center" vertical="center"/>
    </xf>
    <xf numFmtId="0" fontId="46" fillId="14" borderId="53" xfId="0" applyFont="1" applyFill="1" applyBorder="1" applyAlignment="1">
      <alignment horizontal="center" vertical="center"/>
    </xf>
    <xf numFmtId="0" fontId="46" fillId="14" borderId="43" xfId="0" applyFont="1" applyFill="1" applyBorder="1" applyAlignment="1">
      <alignment horizontal="center" vertical="center"/>
    </xf>
    <xf numFmtId="0" fontId="46" fillId="14" borderId="21" xfId="0" applyFont="1" applyFill="1" applyBorder="1" applyAlignment="1">
      <alignment horizontal="center" vertical="center"/>
    </xf>
    <xf numFmtId="3" fontId="17" fillId="14" borderId="52" xfId="0" applyNumberFormat="1" applyFont="1" applyFill="1" applyBorder="1" applyAlignment="1">
      <alignment horizontal="center" vertical="center"/>
    </xf>
    <xf numFmtId="3" fontId="17" fillId="14" borderId="58" xfId="0" applyNumberFormat="1" applyFont="1" applyFill="1" applyBorder="1" applyAlignment="1">
      <alignment horizontal="center" vertical="center"/>
    </xf>
    <xf numFmtId="0" fontId="18" fillId="14" borderId="26" xfId="0" applyFont="1" applyFill="1" applyBorder="1" applyAlignment="1">
      <alignment horizontal="center" vertical="center"/>
    </xf>
    <xf numFmtId="0" fontId="18" fillId="14" borderId="57" xfId="0" applyFont="1" applyFill="1" applyBorder="1" applyAlignment="1">
      <alignment horizontal="center" vertical="center"/>
    </xf>
    <xf numFmtId="3" fontId="17" fillId="14" borderId="56" xfId="0" applyNumberFormat="1" applyFont="1" applyFill="1" applyBorder="1" applyAlignment="1">
      <alignment horizontal="center" vertical="center"/>
    </xf>
    <xf numFmtId="0" fontId="44" fillId="14" borderId="57" xfId="0" applyFont="1" applyFill="1" applyBorder="1" applyAlignment="1">
      <alignment horizontal="center" vertical="center"/>
    </xf>
    <xf numFmtId="0" fontId="44" fillId="14" borderId="27" xfId="0" applyFont="1" applyFill="1" applyBorder="1" applyAlignment="1">
      <alignment horizontal="center" vertical="center"/>
    </xf>
    <xf numFmtId="0" fontId="19" fillId="14" borderId="57" xfId="0" applyFont="1" applyFill="1" applyBorder="1" applyAlignment="1">
      <alignment horizontal="center" vertical="center"/>
    </xf>
    <xf numFmtId="0" fontId="19" fillId="14" borderId="27" xfId="0" applyFont="1" applyFill="1" applyBorder="1" applyAlignment="1">
      <alignment horizontal="center" vertical="center"/>
    </xf>
    <xf numFmtId="3" fontId="17" fillId="14" borderId="20" xfId="0" applyNumberFormat="1" applyFont="1" applyFill="1" applyBorder="1" applyAlignment="1">
      <alignment horizontal="center" vertical="center"/>
    </xf>
    <xf numFmtId="3" fontId="17" fillId="14" borderId="53" xfId="0" applyNumberFormat="1" applyFont="1" applyFill="1" applyBorder="1" applyAlignment="1">
      <alignment horizontal="center" vertical="center"/>
    </xf>
    <xf numFmtId="3" fontId="17" fillId="14" borderId="21" xfId="0" applyNumberFormat="1" applyFont="1" applyFill="1" applyBorder="1" applyAlignment="1">
      <alignment horizontal="center" vertical="center"/>
    </xf>
    <xf numFmtId="3" fontId="24" fillId="14" borderId="42" xfId="0" applyNumberFormat="1" applyFont="1" applyFill="1" applyBorder="1" applyAlignment="1">
      <alignment horizontal="center" vertical="center"/>
    </xf>
    <xf numFmtId="3" fontId="24" fillId="14" borderId="54" xfId="0" applyNumberFormat="1" applyFont="1" applyFill="1" applyBorder="1" applyAlignment="1">
      <alignment horizontal="center" vertical="center"/>
    </xf>
    <xf numFmtId="3" fontId="24" fillId="14" borderId="44" xfId="0" applyNumberFormat="1" applyFont="1" applyFill="1" applyBorder="1" applyAlignment="1">
      <alignment horizontal="center" vertical="center"/>
    </xf>
    <xf numFmtId="0" fontId="32" fillId="4" borderId="29" xfId="0" applyFont="1" applyFill="1" applyBorder="1" applyAlignment="1" applyProtection="1">
      <alignment horizontal="center" vertical="center"/>
      <protection locked="0"/>
    </xf>
    <xf numFmtId="0" fontId="32" fillId="4" borderId="32" xfId="0" applyFont="1" applyFill="1" applyBorder="1" applyAlignment="1" applyProtection="1">
      <alignment horizontal="center" vertical="center"/>
      <protection locked="0"/>
    </xf>
    <xf numFmtId="0" fontId="32" fillId="4" borderId="31" xfId="0" applyFont="1" applyFill="1" applyBorder="1" applyAlignment="1" applyProtection="1">
      <alignment horizontal="center" vertical="center"/>
      <protection locked="0"/>
    </xf>
    <xf numFmtId="0" fontId="32" fillId="4" borderId="33" xfId="0" applyFont="1" applyFill="1" applyBorder="1" applyAlignment="1" applyProtection="1">
      <alignment horizontal="center" vertical="center"/>
      <protection locked="0"/>
    </xf>
    <xf numFmtId="3" fontId="21" fillId="14" borderId="37" xfId="0" applyNumberFormat="1" applyFont="1" applyFill="1" applyBorder="1" applyAlignment="1">
      <alignment horizontal="center" vertical="center"/>
    </xf>
    <xf numFmtId="3" fontId="21" fillId="14" borderId="38" xfId="0" applyNumberFormat="1" applyFont="1" applyFill="1" applyBorder="1" applyAlignment="1">
      <alignment horizontal="center" vertical="center"/>
    </xf>
    <xf numFmtId="3" fontId="21" fillId="14" borderId="39" xfId="0" applyNumberFormat="1" applyFont="1" applyFill="1" applyBorder="1" applyAlignment="1">
      <alignment horizontal="center" vertical="center"/>
    </xf>
    <xf numFmtId="3" fontId="4" fillId="18" borderId="37" xfId="0" applyNumberFormat="1" applyFont="1" applyFill="1" applyBorder="1" applyAlignment="1">
      <alignment horizontal="center" vertical="center"/>
    </xf>
    <xf numFmtId="3" fontId="4" fillId="18" borderId="38" xfId="0" applyNumberFormat="1" applyFont="1" applyFill="1" applyBorder="1" applyAlignment="1">
      <alignment horizontal="center" vertical="center"/>
    </xf>
    <xf numFmtId="3" fontId="4" fillId="18" borderId="40" xfId="0" applyNumberFormat="1" applyFont="1" applyFill="1" applyBorder="1" applyAlignment="1">
      <alignment horizontal="center" vertical="center"/>
    </xf>
    <xf numFmtId="3" fontId="19" fillId="2" borderId="41" xfId="0" applyNumberFormat="1" applyFont="1" applyFill="1" applyBorder="1" applyAlignment="1">
      <alignment horizontal="center" vertical="center"/>
    </xf>
    <xf numFmtId="3" fontId="19" fillId="2" borderId="43" xfId="0" applyNumberFormat="1" applyFont="1" applyFill="1" applyBorder="1" applyAlignment="1">
      <alignment horizontal="center" vertical="center"/>
    </xf>
    <xf numFmtId="164" fontId="19" fillId="2" borderId="20" xfId="0" applyNumberFormat="1" applyFont="1" applyFill="1" applyBorder="1" applyAlignment="1">
      <alignment horizontal="center" vertical="center"/>
    </xf>
    <xf numFmtId="164" fontId="19" fillId="2" borderId="21" xfId="0" applyNumberFormat="1" applyFont="1" applyFill="1" applyBorder="1" applyAlignment="1">
      <alignment horizontal="center" vertical="center"/>
    </xf>
    <xf numFmtId="0" fontId="19" fillId="2" borderId="20" xfId="0" applyFont="1" applyFill="1" applyBorder="1" applyAlignment="1">
      <alignment horizontal="center" vertical="center"/>
    </xf>
    <xf numFmtId="0" fontId="19" fillId="2" borderId="21" xfId="0" applyFont="1" applyFill="1" applyBorder="1" applyAlignment="1">
      <alignment horizontal="center" vertical="center"/>
    </xf>
    <xf numFmtId="3" fontId="19" fillId="2" borderId="20" xfId="0" applyNumberFormat="1" applyFont="1" applyFill="1" applyBorder="1" applyAlignment="1">
      <alignment horizontal="center" vertical="center"/>
    </xf>
    <xf numFmtId="3" fontId="19" fillId="2" borderId="21" xfId="0" applyNumberFormat="1" applyFont="1" applyFill="1" applyBorder="1" applyAlignment="1">
      <alignment horizontal="center" vertical="center"/>
    </xf>
    <xf numFmtId="0" fontId="19" fillId="2" borderId="42" xfId="0" applyFont="1" applyFill="1" applyBorder="1" applyAlignment="1">
      <alignment horizontal="center" vertical="center"/>
    </xf>
    <xf numFmtId="0" fontId="19" fillId="2" borderId="44" xfId="0" applyFont="1" applyFill="1" applyBorder="1" applyAlignment="1">
      <alignment horizontal="center" vertical="center"/>
    </xf>
    <xf numFmtId="0" fontId="24" fillId="14" borderId="28" xfId="0" applyFont="1" applyFill="1" applyBorder="1" applyAlignment="1">
      <alignment horizontal="center" vertical="center" wrapText="1"/>
    </xf>
    <xf numFmtId="0" fontId="24" fillId="14" borderId="32" xfId="0" applyFont="1" applyFill="1" applyBorder="1" applyAlignment="1">
      <alignment horizontal="center" vertical="center" wrapText="1"/>
    </xf>
    <xf numFmtId="0" fontId="24" fillId="14" borderId="30" xfId="0" applyFont="1" applyFill="1" applyBorder="1" applyAlignment="1">
      <alignment horizontal="center" vertical="center" wrapText="1"/>
    </xf>
    <xf numFmtId="0" fontId="24" fillId="14" borderId="33" xfId="0" applyFont="1" applyFill="1" applyBorder="1" applyAlignment="1">
      <alignment horizontal="center" vertical="center" wrapText="1"/>
    </xf>
    <xf numFmtId="3" fontId="23" fillId="14" borderId="29" xfId="0" applyNumberFormat="1" applyFont="1" applyFill="1" applyBorder="1" applyAlignment="1">
      <alignment horizontal="center" vertical="center"/>
    </xf>
    <xf numFmtId="3" fontId="23" fillId="14" borderId="31" xfId="0" applyNumberFormat="1" applyFont="1" applyFill="1" applyBorder="1" applyAlignment="1">
      <alignment horizontal="center" vertical="center"/>
    </xf>
    <xf numFmtId="0" fontId="16" fillId="14" borderId="32" xfId="0" applyFont="1" applyFill="1" applyBorder="1" applyAlignment="1">
      <alignment horizontal="center" vertical="center"/>
    </xf>
    <xf numFmtId="0" fontId="16" fillId="14" borderId="33" xfId="0" applyFont="1" applyFill="1" applyBorder="1" applyAlignment="1">
      <alignment horizontal="center" vertical="center"/>
    </xf>
    <xf numFmtId="164" fontId="15" fillId="14" borderId="34" xfId="0" applyNumberFormat="1" applyFont="1" applyFill="1" applyBorder="1" applyAlignment="1" applyProtection="1">
      <alignment horizontal="center" vertical="center"/>
      <protection locked="0"/>
    </xf>
    <xf numFmtId="3" fontId="17" fillId="14" borderId="34" xfId="0" applyNumberFormat="1" applyFont="1" applyFill="1" applyBorder="1" applyAlignment="1">
      <alignment horizontal="center" vertical="center"/>
    </xf>
    <xf numFmtId="164" fontId="18" fillId="14" borderId="34" xfId="0" applyNumberFormat="1" applyFont="1" applyFill="1" applyBorder="1" applyAlignment="1">
      <alignment horizontal="center" vertical="center"/>
    </xf>
    <xf numFmtId="0" fontId="24" fillId="4" borderId="28" xfId="0" applyFont="1" applyFill="1" applyBorder="1" applyAlignment="1">
      <alignment horizontal="center" vertical="center"/>
    </xf>
    <xf numFmtId="0" fontId="24" fillId="4" borderId="29" xfId="0" applyFont="1" applyFill="1" applyBorder="1" applyAlignment="1">
      <alignment horizontal="center" vertical="center"/>
    </xf>
    <xf numFmtId="0" fontId="24" fillId="4" borderId="30" xfId="0" applyFont="1" applyFill="1" applyBorder="1" applyAlignment="1">
      <alignment horizontal="center" vertical="center"/>
    </xf>
    <xf numFmtId="0" fontId="24" fillId="4" borderId="31" xfId="0" applyFont="1" applyFill="1" applyBorder="1" applyAlignment="1">
      <alignment horizontal="center" vertical="center"/>
    </xf>
    <xf numFmtId="3" fontId="4" fillId="19" borderId="37" xfId="0" applyNumberFormat="1" applyFont="1" applyFill="1" applyBorder="1" applyAlignment="1">
      <alignment horizontal="center" vertical="center"/>
    </xf>
    <xf numFmtId="3" fontId="4" fillId="19" borderId="38" xfId="0" applyNumberFormat="1" applyFont="1" applyFill="1" applyBorder="1" applyAlignment="1">
      <alignment horizontal="center" vertical="center"/>
    </xf>
    <xf numFmtId="3" fontId="4" fillId="19" borderId="40" xfId="0" applyNumberFormat="1" applyFont="1" applyFill="1" applyBorder="1" applyAlignment="1">
      <alignment horizontal="center" vertical="center"/>
    </xf>
    <xf numFmtId="0" fontId="6" fillId="31" borderId="64" xfId="0" applyFont="1" applyFill="1" applyBorder="1" applyAlignment="1" applyProtection="1">
      <alignment horizontal="center" vertical="center" wrapText="1"/>
    </xf>
    <xf numFmtId="0" fontId="6" fillId="31" borderId="65" xfId="0" applyFont="1" applyFill="1" applyBorder="1" applyAlignment="1" applyProtection="1">
      <alignment horizontal="center" vertical="center" wrapText="1"/>
    </xf>
    <xf numFmtId="3" fontId="5" fillId="15" borderId="65" xfId="0" applyNumberFormat="1" applyFont="1" applyFill="1" applyBorder="1" applyAlignment="1" applyProtection="1">
      <alignment horizontal="center" vertical="center" wrapText="1"/>
      <protection locked="0"/>
    </xf>
    <xf numFmtId="3" fontId="5" fillId="15" borderId="66" xfId="0" applyNumberFormat="1" applyFont="1" applyFill="1" applyBorder="1" applyAlignment="1" applyProtection="1">
      <alignment horizontal="center" vertical="center" wrapText="1"/>
      <protection locked="0"/>
    </xf>
    <xf numFmtId="0" fontId="6" fillId="31" borderId="64" xfId="0" applyFont="1" applyFill="1" applyBorder="1" applyAlignment="1">
      <alignment horizontal="center" vertical="center" wrapText="1"/>
    </xf>
    <xf numFmtId="0" fontId="6" fillId="31" borderId="65" xfId="0" applyFont="1" applyFill="1" applyBorder="1" applyAlignment="1">
      <alignment horizontal="center" vertical="center" wrapText="1"/>
    </xf>
    <xf numFmtId="0" fontId="5" fillId="17" borderId="67" xfId="0" applyFont="1" applyFill="1" applyBorder="1" applyAlignment="1" applyProtection="1">
      <alignment horizontal="center" vertical="center"/>
    </xf>
    <xf numFmtId="0" fontId="5" fillId="17" borderId="68" xfId="0" applyFont="1" applyFill="1" applyBorder="1" applyAlignment="1" applyProtection="1">
      <alignment horizontal="center" vertical="center"/>
    </xf>
    <xf numFmtId="0" fontId="6" fillId="16" borderId="28" xfId="0" applyFont="1" applyFill="1" applyBorder="1" applyAlignment="1" applyProtection="1">
      <alignment horizontal="center" vertical="center" wrapText="1"/>
    </xf>
    <xf numFmtId="0" fontId="6" fillId="16" borderId="78" xfId="0" applyFont="1" applyFill="1" applyBorder="1" applyAlignment="1" applyProtection="1">
      <alignment horizontal="center" vertical="center" wrapText="1"/>
    </xf>
    <xf numFmtId="0" fontId="7" fillId="16" borderId="30" xfId="0" applyFont="1" applyFill="1" applyBorder="1" applyAlignment="1" applyProtection="1">
      <alignment horizontal="center" vertical="center" wrapText="1"/>
    </xf>
    <xf numFmtId="0" fontId="6" fillId="16" borderId="79" xfId="0" applyFont="1" applyFill="1" applyBorder="1" applyAlignment="1" applyProtection="1">
      <alignment horizontal="center" vertical="center" wrapText="1"/>
    </xf>
    <xf numFmtId="0" fontId="4" fillId="6" borderId="10" xfId="0" applyFont="1" applyFill="1" applyBorder="1" applyAlignment="1" applyProtection="1">
      <alignment horizontal="center" vertical="center"/>
    </xf>
    <xf numFmtId="0" fontId="4" fillId="6" borderId="11" xfId="0" applyFont="1" applyFill="1" applyBorder="1" applyAlignment="1" applyProtection="1">
      <alignment horizontal="center" vertical="center"/>
    </xf>
    <xf numFmtId="0" fontId="4" fillId="6" borderId="12" xfId="0" applyFont="1" applyFill="1" applyBorder="1" applyAlignment="1" applyProtection="1">
      <alignment horizontal="center" vertical="center"/>
    </xf>
    <xf numFmtId="0" fontId="13" fillId="10" borderId="11" xfId="0" applyFont="1" applyFill="1" applyBorder="1" applyAlignment="1" applyProtection="1">
      <alignment horizontal="center" vertical="center" wrapText="1"/>
    </xf>
    <xf numFmtId="0" fontId="13" fillId="10" borderId="12"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0" fontId="1" fillId="8" borderId="11" xfId="0" applyFont="1" applyFill="1" applyBorder="1" applyAlignment="1" applyProtection="1">
      <alignment horizontal="center" vertical="center"/>
    </xf>
    <xf numFmtId="0" fontId="1" fillId="2" borderId="22" xfId="0" applyFont="1" applyFill="1" applyBorder="1" applyAlignment="1" applyProtection="1">
      <alignment horizontal="center" vertical="center"/>
    </xf>
    <xf numFmtId="0" fontId="1" fillId="2" borderId="39" xfId="0" applyFont="1" applyFill="1" applyBorder="1" applyAlignment="1" applyProtection="1">
      <alignment horizontal="center" vertical="center"/>
    </xf>
    <xf numFmtId="0" fontId="1" fillId="2" borderId="37" xfId="0" applyFont="1" applyFill="1" applyBorder="1" applyAlignment="1" applyProtection="1">
      <alignment horizontal="center" vertical="center"/>
    </xf>
    <xf numFmtId="0" fontId="1" fillId="2" borderId="38" xfId="0" applyFont="1" applyFill="1" applyBorder="1" applyAlignment="1" applyProtection="1">
      <alignment horizontal="center" vertical="center"/>
    </xf>
    <xf numFmtId="0" fontId="1" fillId="7" borderId="37" xfId="0" applyFont="1" applyFill="1" applyBorder="1" applyAlignment="1" applyProtection="1">
      <alignment horizontal="center" vertical="center"/>
    </xf>
    <xf numFmtId="0" fontId="1" fillId="7" borderId="38" xfId="0" applyFont="1" applyFill="1" applyBorder="1" applyAlignment="1" applyProtection="1">
      <alignment horizontal="center" vertical="center"/>
    </xf>
    <xf numFmtId="0" fontId="1" fillId="7" borderId="39" xfId="0" applyFont="1" applyFill="1" applyBorder="1" applyAlignment="1" applyProtection="1">
      <alignment horizontal="center" vertical="center"/>
    </xf>
    <xf numFmtId="0" fontId="6" fillId="16" borderId="69" xfId="0" applyFont="1" applyFill="1" applyBorder="1" applyAlignment="1" applyProtection="1">
      <alignment horizontal="center" vertical="center" wrapText="1"/>
    </xf>
    <xf numFmtId="0" fontId="6" fillId="16" borderId="70" xfId="0" applyFont="1" applyFill="1" applyBorder="1" applyAlignment="1" applyProtection="1">
      <alignment horizontal="center" vertical="center" wrapText="1"/>
    </xf>
    <xf numFmtId="0" fontId="6" fillId="16" borderId="71" xfId="0" applyFont="1" applyFill="1" applyBorder="1" applyAlignment="1" applyProtection="1">
      <alignment horizontal="center" vertical="center" wrapText="1"/>
    </xf>
    <xf numFmtId="0" fontId="6" fillId="16" borderId="72" xfId="0" applyFont="1" applyFill="1" applyBorder="1" applyAlignment="1" applyProtection="1">
      <alignment horizontal="center" vertical="center" wrapText="1"/>
    </xf>
    <xf numFmtId="3" fontId="1" fillId="23" borderId="11" xfId="0" applyNumberFormat="1" applyFont="1" applyFill="1" applyBorder="1" applyAlignment="1" applyProtection="1">
      <alignment horizontal="center" vertical="center"/>
    </xf>
    <xf numFmtId="3" fontId="1" fillId="23" borderId="12" xfId="0" applyNumberFormat="1" applyFont="1" applyFill="1" applyBorder="1" applyAlignment="1" applyProtection="1">
      <alignment horizontal="center" vertical="center"/>
    </xf>
    <xf numFmtId="167" fontId="1" fillId="11" borderId="37" xfId="0" applyNumberFormat="1" applyFont="1" applyFill="1" applyBorder="1" applyAlignment="1" applyProtection="1">
      <alignment horizontal="center" vertical="center"/>
      <protection locked="0"/>
    </xf>
    <xf numFmtId="167" fontId="1" fillId="11" borderId="38" xfId="0" applyNumberFormat="1" applyFont="1" applyFill="1" applyBorder="1" applyAlignment="1" applyProtection="1">
      <alignment horizontal="center" vertical="center"/>
      <protection locked="0"/>
    </xf>
    <xf numFmtId="167" fontId="1" fillId="11" borderId="39" xfId="0" applyNumberFormat="1" applyFont="1" applyFill="1" applyBorder="1" applyAlignment="1" applyProtection="1">
      <alignment horizontal="center" vertical="center"/>
      <protection locked="0"/>
    </xf>
    <xf numFmtId="0" fontId="1" fillId="10" borderId="42" xfId="0" applyFont="1" applyFill="1" applyBorder="1" applyAlignment="1" applyProtection="1">
      <alignment horizontal="center" vertical="center" wrapText="1"/>
    </xf>
    <xf numFmtId="0" fontId="1" fillId="10" borderId="44" xfId="0" applyFont="1" applyFill="1" applyBorder="1" applyAlignment="1" applyProtection="1">
      <alignment horizontal="center" vertical="center" wrapText="1"/>
    </xf>
    <xf numFmtId="0" fontId="5" fillId="19" borderId="74" xfId="0" applyFont="1" applyFill="1" applyBorder="1" applyAlignment="1" applyProtection="1">
      <alignment horizontal="center" vertical="center"/>
    </xf>
    <xf numFmtId="0" fontId="5" fillId="19" borderId="76" xfId="0" applyFont="1" applyFill="1" applyBorder="1" applyAlignment="1" applyProtection="1">
      <alignment horizontal="center" vertical="center"/>
    </xf>
    <xf numFmtId="0" fontId="1" fillId="2" borderId="20" xfId="0" applyFont="1" applyFill="1" applyBorder="1" applyAlignment="1" applyProtection="1">
      <alignment horizontal="center" vertical="center" wrapText="1"/>
    </xf>
    <xf numFmtId="0" fontId="1" fillId="2" borderId="21" xfId="0" applyFont="1" applyFill="1" applyBorder="1" applyAlignment="1" applyProtection="1">
      <alignment horizontal="center" vertical="center" wrapText="1"/>
    </xf>
    <xf numFmtId="0" fontId="6" fillId="18" borderId="73" xfId="0" applyFont="1" applyFill="1" applyBorder="1" applyAlignment="1" applyProtection="1">
      <alignment horizontal="center" vertical="center" wrapText="1"/>
    </xf>
    <xf numFmtId="0" fontId="6" fillId="18" borderId="75" xfId="0" applyFont="1" applyFill="1" applyBorder="1" applyAlignment="1" applyProtection="1">
      <alignment horizontal="center" vertical="center" wrapText="1"/>
    </xf>
    <xf numFmtId="0" fontId="1" fillId="2" borderId="14" xfId="0" applyFont="1" applyFill="1" applyBorder="1" applyAlignment="1" applyProtection="1">
      <alignment horizontal="center" vertical="center" wrapText="1"/>
    </xf>
    <xf numFmtId="0" fontId="1" fillId="2" borderId="16" xfId="0" applyFont="1" applyFill="1" applyBorder="1" applyAlignment="1" applyProtection="1">
      <alignment horizontal="center" vertical="center" wrapText="1"/>
    </xf>
    <xf numFmtId="0" fontId="1" fillId="2" borderId="59" xfId="0" applyFont="1" applyFill="1" applyBorder="1" applyAlignment="1" applyProtection="1">
      <alignment horizontal="center" vertical="center"/>
    </xf>
    <xf numFmtId="0" fontId="1" fillId="2" borderId="60" xfId="0" applyFont="1" applyFill="1" applyBorder="1" applyAlignment="1" applyProtection="1">
      <alignment horizontal="center" vertical="center"/>
    </xf>
    <xf numFmtId="0" fontId="8" fillId="14" borderId="37" xfId="0" applyFont="1" applyFill="1" applyBorder="1" applyAlignment="1" applyProtection="1">
      <alignment horizontal="center" vertical="center"/>
    </xf>
    <xf numFmtId="0" fontId="8" fillId="14" borderId="38" xfId="0" applyFont="1" applyFill="1" applyBorder="1" applyAlignment="1" applyProtection="1">
      <alignment horizontal="center" vertical="center"/>
    </xf>
    <xf numFmtId="0" fontId="8" fillId="14" borderId="39" xfId="0" applyFont="1" applyFill="1" applyBorder="1" applyAlignment="1" applyProtection="1">
      <alignment horizontal="center" vertical="center"/>
    </xf>
    <xf numFmtId="0" fontId="1" fillId="2" borderId="13" xfId="0" applyFont="1" applyFill="1" applyBorder="1" applyAlignment="1" applyProtection="1">
      <alignment horizontal="center" vertical="center"/>
    </xf>
    <xf numFmtId="0" fontId="1" fillId="2" borderId="15" xfId="0" applyFont="1" applyFill="1" applyBorder="1" applyAlignment="1" applyProtection="1">
      <alignment horizontal="center" vertical="center"/>
    </xf>
    <xf numFmtId="0" fontId="1" fillId="2" borderId="14" xfId="0" applyFont="1" applyFill="1" applyBorder="1" applyAlignment="1" applyProtection="1">
      <alignment horizontal="center" vertical="center"/>
    </xf>
    <xf numFmtId="0" fontId="1" fillId="2" borderId="16" xfId="0" applyFont="1" applyFill="1" applyBorder="1" applyAlignment="1" applyProtection="1">
      <alignment horizontal="center" vertical="center"/>
    </xf>
    <xf numFmtId="0" fontId="1" fillId="2" borderId="26" xfId="0" applyFont="1" applyFill="1" applyBorder="1" applyAlignment="1" applyProtection="1">
      <alignment horizontal="center" vertical="center" wrapText="1"/>
    </xf>
    <xf numFmtId="0" fontId="1" fillId="2" borderId="56" xfId="0" applyFont="1" applyFill="1" applyBorder="1" applyAlignment="1" applyProtection="1">
      <alignment horizontal="center" vertical="center" wrapText="1"/>
    </xf>
    <xf numFmtId="0" fontId="1" fillId="2" borderId="27" xfId="0" applyFont="1" applyFill="1" applyBorder="1" applyAlignment="1" applyProtection="1">
      <alignment horizontal="center" vertical="center" wrapText="1"/>
    </xf>
    <xf numFmtId="0" fontId="1" fillId="2" borderId="58" xfId="0" applyFont="1" applyFill="1" applyBorder="1" applyAlignment="1" applyProtection="1">
      <alignment horizontal="center" vertical="center" wrapText="1"/>
    </xf>
    <xf numFmtId="168" fontId="1" fillId="6" borderId="24" xfId="0" applyNumberFormat="1" applyFont="1" applyFill="1" applyBorder="1" applyAlignment="1" applyProtection="1">
      <alignment horizontal="center" vertical="center"/>
      <protection locked="0"/>
    </xf>
    <xf numFmtId="168" fontId="1" fillId="6" borderId="50" xfId="0" applyNumberFormat="1" applyFont="1" applyFill="1" applyBorder="1" applyAlignment="1" applyProtection="1">
      <alignment horizontal="center" vertical="center"/>
      <protection locked="0"/>
    </xf>
    <xf numFmtId="168" fontId="1" fillId="6" borderId="25" xfId="0" applyNumberFormat="1" applyFont="1" applyFill="1" applyBorder="1" applyAlignment="1" applyProtection="1">
      <alignment horizontal="center" vertical="center"/>
      <protection locked="0"/>
    </xf>
    <xf numFmtId="168" fontId="1" fillId="6" borderId="77" xfId="0" applyNumberFormat="1" applyFont="1" applyFill="1" applyBorder="1" applyAlignment="1" applyProtection="1">
      <alignment horizontal="center" vertical="center"/>
      <protection locked="0"/>
    </xf>
    <xf numFmtId="0" fontId="6" fillId="16" borderId="29" xfId="0" applyFont="1" applyFill="1" applyBorder="1" applyAlignment="1" applyProtection="1">
      <alignment horizontal="center" vertical="center" wrapText="1"/>
    </xf>
    <xf numFmtId="0" fontId="6" fillId="16" borderId="30" xfId="0" applyFont="1" applyFill="1" applyBorder="1" applyAlignment="1" applyProtection="1">
      <alignment horizontal="center" vertical="center" wrapText="1"/>
    </xf>
    <xf numFmtId="0" fontId="6" fillId="16" borderId="31" xfId="0" applyFont="1" applyFill="1" applyBorder="1" applyAlignment="1" applyProtection="1">
      <alignment horizontal="center" vertical="center" wrapText="1"/>
    </xf>
    <xf numFmtId="168" fontId="1" fillId="6" borderId="61" xfId="0" applyNumberFormat="1" applyFont="1" applyFill="1" applyBorder="1" applyAlignment="1" applyProtection="1">
      <alignment horizontal="center" vertical="center"/>
      <protection locked="0"/>
    </xf>
    <xf numFmtId="168" fontId="1" fillId="6" borderId="62" xfId="0" applyNumberFormat="1" applyFont="1" applyFill="1" applyBorder="1" applyAlignment="1" applyProtection="1">
      <alignment horizontal="center" vertical="center"/>
      <protection locked="0"/>
    </xf>
    <xf numFmtId="3" fontId="1" fillId="0" borderId="38" xfId="0" applyNumberFormat="1" applyFont="1" applyBorder="1" applyAlignment="1" applyProtection="1">
      <alignment horizontal="center" vertical="center"/>
    </xf>
    <xf numFmtId="0" fontId="33" fillId="20" borderId="48" xfId="0" applyFont="1" applyFill="1" applyBorder="1" applyAlignment="1">
      <alignment horizontal="center" vertical="center" textRotation="90"/>
    </xf>
    <xf numFmtId="0" fontId="33" fillId="20" borderId="49" xfId="0" applyFont="1" applyFill="1" applyBorder="1" applyAlignment="1">
      <alignment horizontal="center" vertical="center" textRotation="90"/>
    </xf>
    <xf numFmtId="0" fontId="33" fillId="20" borderId="47" xfId="0" applyFont="1" applyFill="1" applyBorder="1" applyAlignment="1">
      <alignment horizontal="center" vertical="center" textRotation="90"/>
    </xf>
    <xf numFmtId="164" fontId="27" fillId="18" borderId="11" xfId="0" applyNumberFormat="1" applyFont="1" applyFill="1" applyBorder="1" applyAlignment="1">
      <alignment horizontal="center" vertical="center"/>
    </xf>
    <xf numFmtId="164" fontId="17" fillId="6" borderId="8" xfId="0" applyNumberFormat="1" applyFont="1" applyFill="1" applyBorder="1" applyAlignment="1">
      <alignment horizontal="center" vertical="center"/>
    </xf>
    <xf numFmtId="164" fontId="17" fillId="6" borderId="2" xfId="0" applyNumberFormat="1" applyFont="1" applyFill="1" applyBorder="1" applyAlignment="1">
      <alignment horizontal="center" vertical="center"/>
    </xf>
    <xf numFmtId="0" fontId="34" fillId="12" borderId="48" xfId="0" applyFont="1" applyFill="1" applyBorder="1" applyAlignment="1">
      <alignment horizontal="center" vertical="center" textRotation="90"/>
    </xf>
    <xf numFmtId="0" fontId="34" fillId="12" borderId="49" xfId="0" applyFont="1" applyFill="1" applyBorder="1" applyAlignment="1">
      <alignment horizontal="center" vertical="center" textRotation="90"/>
    </xf>
    <xf numFmtId="0" fontId="34" fillId="12" borderId="47" xfId="0" applyFont="1" applyFill="1" applyBorder="1" applyAlignment="1">
      <alignment horizontal="center" vertical="center" textRotation="90"/>
    </xf>
    <xf numFmtId="3" fontId="31" fillId="3" borderId="0" xfId="0" applyNumberFormat="1" applyFont="1" applyFill="1" applyBorder="1" applyAlignment="1">
      <alignment horizontal="center" vertical="center"/>
    </xf>
    <xf numFmtId="3" fontId="31" fillId="14" borderId="10" xfId="0" applyNumberFormat="1" applyFont="1" applyFill="1" applyBorder="1" applyAlignment="1">
      <alignment horizontal="center" vertical="center"/>
    </xf>
    <xf numFmtId="3" fontId="31" fillId="14" borderId="11" xfId="0" applyNumberFormat="1" applyFont="1" applyFill="1" applyBorder="1" applyAlignment="1">
      <alignment horizontal="center" vertical="center"/>
    </xf>
    <xf numFmtId="164" fontId="17" fillId="6" borderId="35" xfId="0" applyNumberFormat="1" applyFont="1" applyFill="1" applyBorder="1" applyAlignment="1">
      <alignment horizontal="center" vertical="center"/>
    </xf>
    <xf numFmtId="164" fontId="17" fillId="6" borderId="24" xfId="0" applyNumberFormat="1" applyFont="1" applyFill="1" applyBorder="1" applyAlignment="1">
      <alignment horizontal="center" vertical="center"/>
    </xf>
    <xf numFmtId="164" fontId="17" fillId="6" borderId="50" xfId="0" applyNumberFormat="1" applyFont="1" applyFill="1" applyBorder="1" applyAlignment="1">
      <alignment horizontal="center" vertical="center"/>
    </xf>
    <xf numFmtId="3" fontId="26" fillId="8" borderId="37" xfId="0" applyNumberFormat="1" applyFont="1" applyFill="1" applyBorder="1" applyAlignment="1">
      <alignment horizontal="center" vertical="center"/>
    </xf>
    <xf numFmtId="3" fontId="26" fillId="8" borderId="38" xfId="0" applyNumberFormat="1" applyFont="1" applyFill="1" applyBorder="1" applyAlignment="1">
      <alignment horizontal="center" vertical="center"/>
    </xf>
    <xf numFmtId="3" fontId="26" fillId="8" borderId="40" xfId="0" applyNumberFormat="1" applyFont="1" applyFill="1" applyBorder="1" applyAlignment="1">
      <alignment horizontal="center" vertical="center"/>
    </xf>
    <xf numFmtId="3" fontId="31" fillId="14" borderId="37" xfId="0" applyNumberFormat="1" applyFont="1" applyFill="1" applyBorder="1" applyAlignment="1">
      <alignment horizontal="center" vertical="center"/>
    </xf>
    <xf numFmtId="3" fontId="31" fillId="14" borderId="38" xfId="0" applyNumberFormat="1" applyFont="1" applyFill="1" applyBorder="1" applyAlignment="1">
      <alignment horizontal="center" vertical="center"/>
    </xf>
    <xf numFmtId="0" fontId="21" fillId="14" borderId="0" xfId="0" applyFont="1" applyFill="1" applyBorder="1" applyAlignment="1">
      <alignment horizontal="left" vertical="center" wrapText="1"/>
    </xf>
    <xf numFmtId="0" fontId="29" fillId="14" borderId="0" xfId="0" applyFont="1" applyFill="1" applyBorder="1" applyAlignment="1" applyProtection="1">
      <alignment horizontal="center" vertical="center"/>
      <protection locked="0"/>
    </xf>
    <xf numFmtId="0" fontId="8" fillId="3" borderId="0" xfId="0" applyFont="1" applyFill="1" applyBorder="1" applyAlignment="1">
      <alignment horizontal="center" vertical="center"/>
    </xf>
    <xf numFmtId="164" fontId="15" fillId="3" borderId="0" xfId="0" applyNumberFormat="1" applyFont="1" applyFill="1" applyBorder="1" applyAlignment="1">
      <alignment horizontal="center" vertical="center"/>
    </xf>
    <xf numFmtId="3" fontId="17" fillId="3" borderId="0" xfId="0" applyNumberFormat="1" applyFont="1" applyFill="1" applyBorder="1" applyAlignment="1">
      <alignment horizontal="center" vertical="center"/>
    </xf>
    <xf numFmtId="164" fontId="18" fillId="3" borderId="0" xfId="0" applyNumberFormat="1" applyFont="1" applyFill="1" applyBorder="1" applyAlignment="1">
      <alignment horizontal="center" vertical="center"/>
    </xf>
    <xf numFmtId="3" fontId="1" fillId="22" borderId="0" xfId="0" applyNumberFormat="1" applyFont="1" applyFill="1" applyAlignment="1">
      <alignment horizontal="center" vertical="center"/>
    </xf>
    <xf numFmtId="0" fontId="56" fillId="3" borderId="0" xfId="0" applyFont="1" applyFill="1" applyAlignment="1">
      <alignment horizontal="center" vertical="center"/>
    </xf>
    <xf numFmtId="0" fontId="53" fillId="14" borderId="0" xfId="0" applyFont="1" applyFill="1" applyAlignment="1">
      <alignment horizontal="center" vertical="center"/>
    </xf>
    <xf numFmtId="0" fontId="53" fillId="14" borderId="0" xfId="0" applyFont="1" applyFill="1" applyAlignment="1">
      <alignment horizontal="center"/>
    </xf>
    <xf numFmtId="0" fontId="54" fillId="32" borderId="0" xfId="0" applyFont="1" applyFill="1" applyAlignment="1">
      <alignment horizontal="center" vertical="center"/>
    </xf>
  </cellXfs>
  <cellStyles count="1">
    <cellStyle name="Normal" xfId="0" builtinId="0"/>
  </cellStyles>
  <dxfs count="14">
    <dxf>
      <font>
        <color rgb="FF00B050"/>
      </font>
    </dxf>
    <dxf>
      <font>
        <color rgb="FFC00000"/>
      </font>
    </dxf>
    <dxf>
      <font>
        <color rgb="FF00B050"/>
      </font>
    </dxf>
    <dxf>
      <font>
        <color rgb="FFFF0000"/>
      </font>
    </dxf>
    <dxf>
      <font>
        <color rgb="FFFFFF00"/>
      </font>
    </dxf>
    <dxf>
      <font>
        <color rgb="FF00B050"/>
      </font>
    </dxf>
    <dxf>
      <fill>
        <patternFill>
          <bgColor rgb="FFFF3300"/>
        </patternFill>
      </fill>
    </dxf>
    <dxf>
      <font>
        <color theme="0"/>
      </font>
      <fill>
        <patternFill>
          <bgColor theme="1"/>
        </patternFill>
      </fill>
    </dxf>
    <dxf>
      <font>
        <color rgb="FF00B050"/>
      </font>
      <fill>
        <patternFill>
          <bgColor theme="9" tint="0.39994506668294322"/>
        </patternFill>
      </fill>
    </dxf>
    <dxf>
      <font>
        <color rgb="FFFF0000"/>
      </font>
      <fill>
        <patternFill>
          <bgColor theme="5" tint="0.39994506668294322"/>
        </patternFill>
      </fill>
    </dxf>
    <dxf>
      <font>
        <color rgb="FF00B0F0"/>
      </font>
      <fill>
        <patternFill>
          <bgColor rgb="FFFFFF00"/>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0066"/>
      <color rgb="FFFF33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5772352618602E-2"/>
          <c:y val="3.3333341286886489E-2"/>
          <c:w val="0.88211782139672734"/>
          <c:h val="0.75602952899774012"/>
        </c:manualLayout>
      </c:layout>
      <c:lineChart>
        <c:grouping val="standard"/>
        <c:varyColors val="0"/>
        <c:ser>
          <c:idx val="0"/>
          <c:order val="0"/>
          <c:tx>
            <c:v>مجموع کل واریزی‌ها</c:v>
          </c:tx>
          <c:spPr>
            <a:ln w="22225" cap="rnd" cmpd="sng" algn="ctr">
              <a:solidFill>
                <a:srgbClr val="00B050"/>
              </a:solidFill>
              <a:round/>
            </a:ln>
            <a:effectLst>
              <a:outerShdw blurRad="50800" dist="38100" dir="8100000" algn="tr" rotWithShape="0">
                <a:prstClr val="black">
                  <a:alpha val="40000"/>
                </a:prstClr>
              </a:outerShdw>
            </a:effectLst>
          </c:spPr>
          <c:marker>
            <c:symbol val="none"/>
          </c:marker>
          <c:cat>
            <c:strRef>
              <c:f>'عملکرد سالانه'!$C$5:$C$16</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'عملکرد سالانه'!$D$5:$D$16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295-46AD-8634-8589D462F7FB}"/>
            </c:ext>
          </c:extLst>
        </c:ser>
        <c:ser>
          <c:idx val="1"/>
          <c:order val="1"/>
          <c:tx>
            <c:v>مجموع کل هزینه‌ها</c:v>
          </c:tx>
          <c:spPr>
            <a:ln w="22225" cap="rnd" cmpd="sng" algn="ctr">
              <a:solidFill>
                <a:srgbClr val="FF0000"/>
              </a:solidFill>
              <a:round/>
            </a:ln>
            <a:effectLst>
              <a:outerShdw blurRad="50800" dist="38100" dir="8100000" algn="tr" rotWithShape="0">
                <a:prstClr val="black">
                  <a:alpha val="40000"/>
                </a:prstClr>
              </a:outerShdw>
            </a:effectLst>
          </c:spPr>
          <c:marker>
            <c:symbol val="none"/>
          </c:marker>
          <c:cat>
            <c:strRef>
              <c:f>'عملکرد سالانه'!$C$5:$C$16</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'عملکرد سالانه'!$E$5:$E$16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295-46AD-8634-8589D462F7FB}"/>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399167663"/>
        <c:axId val="399175567"/>
      </c:lineChart>
      <c:catAx>
        <c:axId val="399167663"/>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mn-lt"/>
                <a:ea typeface="+mn-ea"/>
                <a:cs typeface="B Titr" panose="00000700000000000000" pitchFamily="2" charset="-78"/>
              </a:defRPr>
            </a:pPr>
            <a:endParaRPr lang="en-US"/>
          </a:p>
        </c:txPr>
        <c:crossAx val="399175567"/>
        <c:crosses val="autoZero"/>
        <c:auto val="1"/>
        <c:lblAlgn val="ctr"/>
        <c:lblOffset val="100"/>
        <c:noMultiLvlLbl val="0"/>
      </c:catAx>
      <c:valAx>
        <c:axId val="399175567"/>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mn-lt"/>
                <a:ea typeface="+mn-ea"/>
                <a:cs typeface="B Titr" panose="00000700000000000000" pitchFamily="2" charset="-78"/>
              </a:defRPr>
            </a:pPr>
            <a:endParaRPr lang="en-US"/>
          </a:p>
        </c:txPr>
        <c:crossAx val="399167663"/>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manualLayout>
          <c:xMode val="edge"/>
          <c:yMode val="edge"/>
          <c:x val="4.2132547891717463E-2"/>
          <c:y val="0.90348054637012976"/>
          <c:w val="0.91817895227918689"/>
          <c:h val="7.120300634472695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B Titr" panose="00000700000000000000" pitchFamily="2"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5679742511597356E-2"/>
          <c:y val="3.0803069635033865E-2"/>
          <c:w val="0.91801608044990313"/>
          <c:h val="0.86775261635521728"/>
        </c:manualLayout>
      </c:layout>
      <c:bar3DChart>
        <c:barDir val="col"/>
        <c:grouping val="standard"/>
        <c:varyColors val="0"/>
        <c:ser>
          <c:idx val="1"/>
          <c:order val="1"/>
          <c:spPr>
            <a:solidFill>
              <a:srgbClr val="66FF33"/>
            </a:solidFill>
            <a:ln>
              <a:noFill/>
            </a:ln>
            <a:effectLst/>
            <a:sp3d/>
          </c:spPr>
          <c:invertIfNegative val="0"/>
          <c:cat>
            <c:strRef>
              <c:f>'عملکرد سالانه'!$C$24:$C$28</c:f>
              <c:strCache>
                <c:ptCount val="5"/>
                <c:pt idx="0">
                  <c:v>شارژ ماهانه</c:v>
                </c:pt>
                <c:pt idx="1">
                  <c:v>سهم قبض آب</c:v>
                </c:pt>
                <c:pt idx="2">
                  <c:v>سرانه</c:v>
                </c:pt>
                <c:pt idx="3">
                  <c:v>سهم خودپرداز</c:v>
                </c:pt>
                <c:pt idx="4">
                  <c:v>واریزی‌های متفرقه</c:v>
                </c:pt>
              </c:strCache>
            </c:strRef>
          </c:cat>
          <c:val>
            <c:numRef>
              <c:f>'عملکرد سالانه'!$E$24:$E$28</c:f>
              <c:numCache>
                <c:formatCode>#,##0</c:formatCode>
                <c:ptCount val="5"/>
                <c:pt idx="0">
                  <c:v>0</c:v>
                </c:pt>
                <c:pt idx="1">
                  <c:v>0</c:v>
                </c:pt>
                <c:pt idx="2">
                  <c:v>0</c:v>
                </c:pt>
                <c:pt idx="3">
                  <c:v>0</c:v>
                </c:pt>
                <c:pt idx="4">
                  <c:v>0</c:v>
                </c:pt>
              </c:numCache>
            </c:numRef>
          </c:val>
          <c:shape val="cylinder"/>
          <c:extLst>
            <c:ext xmlns:c16="http://schemas.microsoft.com/office/drawing/2014/chart" uri="{C3380CC4-5D6E-409C-BE32-E72D297353CC}">
              <c16:uniqueId val="{00000001-8758-4C17-BBE1-EDA7DC379BA2}"/>
            </c:ext>
          </c:extLst>
        </c:ser>
        <c:dLbls>
          <c:showLegendKey val="0"/>
          <c:showVal val="0"/>
          <c:showCatName val="0"/>
          <c:showSerName val="0"/>
          <c:showPercent val="0"/>
          <c:showBubbleSize val="0"/>
        </c:dLbls>
        <c:gapWidth val="150"/>
        <c:gapDepth val="0"/>
        <c:shape val="box"/>
        <c:axId val="260704512"/>
        <c:axId val="260714912"/>
        <c:axId val="374361904"/>
        <c:extLst>
          <c:ext xmlns:c15="http://schemas.microsoft.com/office/drawing/2012/chart" uri="{02D57815-91ED-43cb-92C2-25804820EDAC}">
            <c15:filteredBarSeries>
              <c15:ser>
                <c:idx val="0"/>
                <c:order val="0"/>
                <c:spPr>
                  <a:gradFill>
                    <a:gsLst>
                      <a:gs pos="100000">
                        <a:schemeClr val="accent1">
                          <a:alpha val="0"/>
                        </a:schemeClr>
                      </a:gs>
                      <a:gs pos="50000">
                        <a:schemeClr val="accent1"/>
                      </a:gs>
                    </a:gsLst>
                    <a:lin ang="5400000" scaled="0"/>
                  </a:gradFill>
                  <a:ln>
                    <a:noFill/>
                  </a:ln>
                  <a:effectLst/>
                  <a:sp3d/>
                </c:spPr>
                <c:invertIfNegative val="0"/>
                <c:cat>
                  <c:strRef>
                    <c:extLst>
                      <c:ext uri="{02D57815-91ED-43cb-92C2-25804820EDAC}">
                        <c15:formulaRef>
                          <c15:sqref>'عملکرد سالانه'!$C$24:$C$28</c15:sqref>
                        </c15:formulaRef>
                      </c:ext>
                    </c:extLst>
                    <c:strCache>
                      <c:ptCount val="5"/>
                      <c:pt idx="0">
                        <c:v>شارژ ماهانه</c:v>
                      </c:pt>
                      <c:pt idx="1">
                        <c:v>سهم قبض آب</c:v>
                      </c:pt>
                      <c:pt idx="2">
                        <c:v>سرانه</c:v>
                      </c:pt>
                      <c:pt idx="3">
                        <c:v>سهم خودپرداز</c:v>
                      </c:pt>
                      <c:pt idx="4">
                        <c:v>واریزی‌های متفرقه</c:v>
                      </c:pt>
                    </c:strCache>
                  </c:strRef>
                </c:cat>
                <c:val>
                  <c:numRef>
                    <c:extLst>
                      <c:ext uri="{02D57815-91ED-43cb-92C2-25804820EDAC}">
                        <c15:formulaRef>
                          <c15:sqref>'عملکرد سالانه'!$D$24:$D$28</c15:sqref>
                        </c15:formulaRef>
                      </c:ext>
                    </c:extLst>
                    <c:numCache>
                      <c:formatCode>[$-960429]dddd\,\ d\ mmmm\ yyyy;@</c:formatCode>
                      <c:ptCount val="5"/>
                    </c:numCache>
                  </c:numRef>
                </c:val>
                <c:extLst>
                  <c:ext xmlns:c16="http://schemas.microsoft.com/office/drawing/2014/chart" uri="{C3380CC4-5D6E-409C-BE32-E72D297353CC}">
                    <c16:uniqueId val="{00000000-8758-4C17-BBE1-EDA7DC379BA2}"/>
                  </c:ext>
                </c:extLst>
              </c15:ser>
            </c15:filteredBarSeries>
          </c:ext>
        </c:extLst>
      </c:bar3DChart>
      <c:catAx>
        <c:axId val="260704512"/>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Titr" panose="00000700000000000000" pitchFamily="2" charset="-78"/>
              </a:defRPr>
            </a:pPr>
            <a:endParaRPr lang="en-US"/>
          </a:p>
        </c:txPr>
        <c:crossAx val="260714912"/>
        <c:crosses val="autoZero"/>
        <c:auto val="1"/>
        <c:lblAlgn val="ctr"/>
        <c:lblOffset val="100"/>
        <c:noMultiLvlLbl val="0"/>
      </c:catAx>
      <c:valAx>
        <c:axId val="26071491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Titr" panose="00000700000000000000" pitchFamily="2" charset="-78"/>
              </a:defRPr>
            </a:pPr>
            <a:endParaRPr lang="en-US"/>
          </a:p>
        </c:txPr>
        <c:crossAx val="260704512"/>
        <c:crosses val="autoZero"/>
        <c:crossBetween val="between"/>
      </c:valAx>
      <c:serAx>
        <c:axId val="374361904"/>
        <c:scaling>
          <c:orientation val="minMax"/>
        </c:scaling>
        <c:delete val="1"/>
        <c:axPos val="b"/>
        <c:majorTickMark val="none"/>
        <c:minorTickMark val="none"/>
        <c:tickLblPos val="nextTo"/>
        <c:crossAx val="260714912"/>
        <c:crosses val="autoZero"/>
      </c:ser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196896561336886E-2"/>
          <c:y val="2.00501305889739E-2"/>
          <c:w val="0.91059192230187336"/>
          <c:h val="0.8499808181821531"/>
        </c:manualLayout>
      </c:layout>
      <c:bar3DChart>
        <c:barDir val="col"/>
        <c:grouping val="standard"/>
        <c:varyColors val="0"/>
        <c:ser>
          <c:idx val="1"/>
          <c:order val="1"/>
          <c:spPr>
            <a:solidFill>
              <a:srgbClr val="FF0000"/>
            </a:solidFill>
            <a:ln>
              <a:noFill/>
            </a:ln>
            <a:effectLst/>
            <a:sp3d/>
          </c:spPr>
          <c:invertIfNegative val="0"/>
          <c:cat>
            <c:strRef>
              <c:f>'عملکرد سالانه'!$C$32:$C$39</c:f>
              <c:strCache>
                <c:ptCount val="8"/>
                <c:pt idx="0">
                  <c:v>قبض آب</c:v>
                </c:pt>
                <c:pt idx="1">
                  <c:v>قبض برق</c:v>
                </c:pt>
                <c:pt idx="2">
                  <c:v>حقوق نگهبان</c:v>
                </c:pt>
                <c:pt idx="3">
                  <c:v>نظافت مجتمع</c:v>
                </c:pt>
                <c:pt idx="4">
                  <c:v>اقلام مصرفی</c:v>
                </c:pt>
                <c:pt idx="5">
                  <c:v>تعمیرات مجتمع</c:v>
                </c:pt>
                <c:pt idx="6">
                  <c:v>بیمه مجتمع</c:v>
                </c:pt>
                <c:pt idx="7">
                  <c:v>هزینه‌های متفرقه</c:v>
                </c:pt>
              </c:strCache>
            </c:strRef>
          </c:cat>
          <c:val>
            <c:numRef>
              <c:f>'عملکرد سالانه'!$E$32:$E$39</c:f>
              <c:numCache>
                <c:formatCode>#,##0</c:formatCode>
                <c:ptCount val="8"/>
                <c:pt idx="0">
                  <c:v>0</c:v>
                </c:pt>
                <c:pt idx="1">
                  <c:v>0</c:v>
                </c:pt>
                <c:pt idx="2">
                  <c:v>0</c:v>
                </c:pt>
                <c:pt idx="3">
                  <c:v>0</c:v>
                </c:pt>
                <c:pt idx="4">
                  <c:v>0</c:v>
                </c:pt>
                <c:pt idx="5">
                  <c:v>0</c:v>
                </c:pt>
                <c:pt idx="6">
                  <c:v>0</c:v>
                </c:pt>
                <c:pt idx="7">
                  <c:v>0</c:v>
                </c:pt>
              </c:numCache>
            </c:numRef>
          </c:val>
          <c:shape val="cylinder"/>
          <c:extLst>
            <c:ext xmlns:c16="http://schemas.microsoft.com/office/drawing/2014/chart" uri="{C3380CC4-5D6E-409C-BE32-E72D297353CC}">
              <c16:uniqueId val="{00000001-D959-43EC-825D-A1371BA8F64B}"/>
            </c:ext>
          </c:extLst>
        </c:ser>
        <c:dLbls>
          <c:showLegendKey val="0"/>
          <c:showVal val="0"/>
          <c:showCatName val="0"/>
          <c:showSerName val="0"/>
          <c:showPercent val="0"/>
          <c:showBubbleSize val="0"/>
        </c:dLbls>
        <c:gapWidth val="150"/>
        <c:gapDepth val="0"/>
        <c:shape val="box"/>
        <c:axId val="1811886079"/>
        <c:axId val="1811886495"/>
        <c:axId val="1810340111"/>
        <c:extLst>
          <c:ext xmlns:c15="http://schemas.microsoft.com/office/drawing/2012/chart" uri="{02D57815-91ED-43cb-92C2-25804820EDAC}">
            <c15:filteredBarSeries>
              <c15:ser>
                <c:idx val="0"/>
                <c:order val="0"/>
                <c:spPr>
                  <a:gradFill>
                    <a:gsLst>
                      <a:gs pos="100000">
                        <a:schemeClr val="accent1">
                          <a:alpha val="0"/>
                        </a:schemeClr>
                      </a:gs>
                      <a:gs pos="50000">
                        <a:schemeClr val="accent1"/>
                      </a:gs>
                    </a:gsLst>
                    <a:lin ang="5400000" scaled="0"/>
                  </a:gradFill>
                  <a:ln>
                    <a:noFill/>
                  </a:ln>
                  <a:effectLst/>
                  <a:sp3d/>
                </c:spPr>
                <c:invertIfNegative val="0"/>
                <c:cat>
                  <c:strRef>
                    <c:extLst>
                      <c:ext uri="{02D57815-91ED-43cb-92C2-25804820EDAC}">
                        <c15:formulaRef>
                          <c15:sqref>'عملکرد سالانه'!$C$32:$C$39</c15:sqref>
                        </c15:formulaRef>
                      </c:ext>
                    </c:extLst>
                    <c:strCache>
                      <c:ptCount val="8"/>
                      <c:pt idx="0">
                        <c:v>قبض آب</c:v>
                      </c:pt>
                      <c:pt idx="1">
                        <c:v>قبض برق</c:v>
                      </c:pt>
                      <c:pt idx="2">
                        <c:v>حقوق نگهبان</c:v>
                      </c:pt>
                      <c:pt idx="3">
                        <c:v>نظافت مجتمع</c:v>
                      </c:pt>
                      <c:pt idx="4">
                        <c:v>اقلام مصرفی</c:v>
                      </c:pt>
                      <c:pt idx="5">
                        <c:v>تعمیرات مجتمع</c:v>
                      </c:pt>
                      <c:pt idx="6">
                        <c:v>بیمه مجتمع</c:v>
                      </c:pt>
                      <c:pt idx="7">
                        <c:v>هزینه‌های متفرقه</c:v>
                      </c:pt>
                    </c:strCache>
                  </c:strRef>
                </c:cat>
                <c:val>
                  <c:numRef>
                    <c:extLst>
                      <c:ext uri="{02D57815-91ED-43cb-92C2-25804820EDAC}">
                        <c15:formulaRef>
                          <c15:sqref>'عملکرد سالانه'!$D$32:$D$39</c15:sqref>
                        </c15:formulaRef>
                      </c:ext>
                    </c:extLst>
                    <c:numCache>
                      <c:formatCode>[$-960429]dddd\,\ d\ mmmm\ yyyy;@</c:formatCode>
                      <c:ptCount val="8"/>
                    </c:numCache>
                  </c:numRef>
                </c:val>
                <c:extLst>
                  <c:ext xmlns:c16="http://schemas.microsoft.com/office/drawing/2014/chart" uri="{C3380CC4-5D6E-409C-BE32-E72D297353CC}">
                    <c16:uniqueId val="{00000000-D959-43EC-825D-A1371BA8F64B}"/>
                  </c:ext>
                </c:extLst>
              </c15:ser>
            </c15:filteredBarSeries>
          </c:ext>
        </c:extLst>
      </c:bar3DChart>
      <c:catAx>
        <c:axId val="181188607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Titr" panose="00000700000000000000" pitchFamily="2" charset="-78"/>
              </a:defRPr>
            </a:pPr>
            <a:endParaRPr lang="en-US"/>
          </a:p>
        </c:txPr>
        <c:crossAx val="1811886495"/>
        <c:crosses val="autoZero"/>
        <c:auto val="1"/>
        <c:lblAlgn val="ctr"/>
        <c:lblOffset val="100"/>
        <c:noMultiLvlLbl val="0"/>
      </c:catAx>
      <c:valAx>
        <c:axId val="1811886495"/>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1886079"/>
        <c:crosses val="autoZero"/>
        <c:crossBetween val="between"/>
      </c:valAx>
      <c:serAx>
        <c:axId val="1810340111"/>
        <c:scaling>
          <c:orientation val="minMax"/>
        </c:scaling>
        <c:delete val="1"/>
        <c:axPos val="b"/>
        <c:majorTickMark val="none"/>
        <c:minorTickMark val="none"/>
        <c:tickLblPos val="nextTo"/>
        <c:crossAx val="1811886495"/>
        <c:crosses val="autoZero"/>
      </c:ser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tx1"/>
    </cs:fontRef>
    <cs:spPr>
      <a:gradFill>
        <a:gsLst>
          <a:gs pos="100000">
            <a:schemeClr val="phClr">
              <a:alpha val="0"/>
            </a:schemeClr>
          </a:gs>
          <a:gs pos="50000">
            <a:schemeClr val="phClr"/>
          </a:gs>
        </a:gsLst>
        <a:lin ang="5400000" scaled="0"/>
      </a:gradFill>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tx1"/>
    </cs:fontRef>
    <cs:spPr>
      <a:gradFill>
        <a:gsLst>
          <a:gs pos="100000">
            <a:schemeClr val="phClr">
              <a:alpha val="0"/>
            </a:schemeClr>
          </a:gs>
          <a:gs pos="50000">
            <a:schemeClr val="phClr"/>
          </a:gs>
        </a:gsLst>
        <a:lin ang="5400000" scaled="0"/>
      </a:gradFill>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6</xdr:col>
      <xdr:colOff>104774</xdr:colOff>
      <xdr:row>5</xdr:row>
      <xdr:rowOff>0</xdr:rowOff>
    </xdr:from>
    <xdr:to>
      <xdr:col>13</xdr:col>
      <xdr:colOff>1428749</xdr:colOff>
      <xdr:row>17</xdr:row>
      <xdr:rowOff>9524</xdr:rowOff>
    </xdr:to>
    <xdr:graphicFrame macro="">
      <xdr:nvGraphicFramePr>
        <xdr:cNvPr id="4" name="نمودار 3">
          <a:extLst>
            <a:ext uri="{FF2B5EF4-FFF2-40B4-BE49-F238E27FC236}">
              <a16:creationId xmlns:a16="http://schemas.microsoft.com/office/drawing/2014/main" id="{8D0073DC-616F-407B-BC4E-7FE5D23BF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51955</xdr:colOff>
      <xdr:row>21</xdr:row>
      <xdr:rowOff>28575</xdr:rowOff>
    </xdr:from>
    <xdr:to>
      <xdr:col>12</xdr:col>
      <xdr:colOff>536864</xdr:colOff>
      <xdr:row>30</xdr:row>
      <xdr:rowOff>9526</xdr:rowOff>
    </xdr:to>
    <xdr:graphicFrame macro="">
      <xdr:nvGraphicFramePr>
        <xdr:cNvPr id="2" name="نمودار 1">
          <a:extLst>
            <a:ext uri="{FF2B5EF4-FFF2-40B4-BE49-F238E27FC236}">
              <a16:creationId xmlns:a16="http://schemas.microsoft.com/office/drawing/2014/main" id="{97B604B0-D17D-425C-AB93-6A8987B029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38101</xdr:colOff>
      <xdr:row>29</xdr:row>
      <xdr:rowOff>0</xdr:rowOff>
    </xdr:from>
    <xdr:to>
      <xdr:col>12</xdr:col>
      <xdr:colOff>545523</xdr:colOff>
      <xdr:row>42</xdr:row>
      <xdr:rowOff>114300</xdr:rowOff>
    </xdr:to>
    <xdr:graphicFrame macro="">
      <xdr:nvGraphicFramePr>
        <xdr:cNvPr id="3" name="نمودار 2">
          <a:extLst>
            <a:ext uri="{FF2B5EF4-FFF2-40B4-BE49-F238E27FC236}">
              <a16:creationId xmlns:a16="http://schemas.microsoft.com/office/drawing/2014/main" id="{01CBE943-1E62-4FE5-9EA4-E16D6624BB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47</xdr:row>
      <xdr:rowOff>28575</xdr:rowOff>
    </xdr:from>
    <xdr:to>
      <xdr:col>20</xdr:col>
      <xdr:colOff>200025</xdr:colOff>
      <xdr:row>76</xdr:row>
      <xdr:rowOff>99060</xdr:rowOff>
    </xdr:to>
    <xdr:pic>
      <xdr:nvPicPr>
        <xdr:cNvPr id="2" name="Picture 1">
          <a:extLst>
            <a:ext uri="{FF2B5EF4-FFF2-40B4-BE49-F238E27FC236}">
              <a16:creationId xmlns:a16="http://schemas.microsoft.com/office/drawing/2014/main" id="{FC3FAC10-1A19-4091-A4A5-25C915AF8A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5294375" y="9048750"/>
          <a:ext cx="12239625" cy="5594985"/>
        </a:xfrm>
        <a:prstGeom prst="rect">
          <a:avLst/>
        </a:prstGeom>
        <a:ln>
          <a:noFill/>
        </a:ln>
        <a:effectLst>
          <a:softEdge rad="112500"/>
        </a:effectLst>
      </xdr:spPr>
    </xdr:pic>
    <xdr:clientData/>
  </xdr:twoCellAnchor>
  <xdr:twoCellAnchor editAs="oneCell">
    <xdr:from>
      <xdr:col>0</xdr:col>
      <xdr:colOff>0</xdr:colOff>
      <xdr:row>0</xdr:row>
      <xdr:rowOff>9525</xdr:rowOff>
    </xdr:from>
    <xdr:to>
      <xdr:col>20</xdr:col>
      <xdr:colOff>95250</xdr:colOff>
      <xdr:row>22</xdr:row>
      <xdr:rowOff>9524</xdr:rowOff>
    </xdr:to>
    <xdr:pic>
      <xdr:nvPicPr>
        <xdr:cNvPr id="3" name="Picture 2">
          <a:extLst>
            <a:ext uri="{FF2B5EF4-FFF2-40B4-BE49-F238E27FC236}">
              <a16:creationId xmlns:a16="http://schemas.microsoft.com/office/drawing/2014/main" id="{255AF9BB-BCED-4665-B2AA-A5818DF6DA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5399150" y="9525"/>
          <a:ext cx="12287250" cy="4190999"/>
        </a:xfrm>
        <a:prstGeom prst="rect">
          <a:avLst/>
        </a:prstGeom>
        <a:ln>
          <a:noFill/>
        </a:ln>
        <a:effectLst>
          <a:softEdge rad="112500"/>
        </a:effectLst>
      </xdr:spPr>
    </xdr:pic>
    <xdr:clientData/>
  </xdr:twoCellAnchor>
  <xdr:twoCellAnchor>
    <xdr:from>
      <xdr:col>2</xdr:col>
      <xdr:colOff>257175</xdr:colOff>
      <xdr:row>32</xdr:row>
      <xdr:rowOff>111900</xdr:rowOff>
    </xdr:from>
    <xdr:to>
      <xdr:col>18</xdr:col>
      <xdr:colOff>438150</xdr:colOff>
      <xdr:row>45</xdr:row>
      <xdr:rowOff>18600</xdr:rowOff>
    </xdr:to>
    <xdr:grpSp>
      <xdr:nvGrpSpPr>
        <xdr:cNvPr id="8" name="Group 7">
          <a:extLst>
            <a:ext uri="{FF2B5EF4-FFF2-40B4-BE49-F238E27FC236}">
              <a16:creationId xmlns:a16="http://schemas.microsoft.com/office/drawing/2014/main" id="{0991F5FC-2FCA-4044-B59B-A9FC9F4DA67B}"/>
            </a:ext>
          </a:extLst>
        </xdr:cNvPr>
        <xdr:cNvGrpSpPr/>
      </xdr:nvGrpSpPr>
      <xdr:grpSpPr>
        <a:xfrm>
          <a:off x="9976275450" y="6207900"/>
          <a:ext cx="9934575" cy="2449875"/>
          <a:chOff x="9976275450" y="6207900"/>
          <a:chExt cx="9934575" cy="2449875"/>
        </a:xfrm>
      </xdr:grpSpPr>
      <xdr:pic>
        <xdr:nvPicPr>
          <xdr:cNvPr id="5" name="Picture 4">
            <a:extLst>
              <a:ext uri="{FF2B5EF4-FFF2-40B4-BE49-F238E27FC236}">
                <a16:creationId xmlns:a16="http://schemas.microsoft.com/office/drawing/2014/main" id="{A5276C5F-2580-43F5-BB3B-6554840F2A4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1361" r="1361"/>
          <a:stretch/>
        </xdr:blipFill>
        <xdr:spPr>
          <a:xfrm rot="362743">
            <a:off x="9983828775" y="6208902"/>
            <a:ext cx="2381250" cy="2447870"/>
          </a:xfrm>
          <a:prstGeom prst="roundRect">
            <a:avLst>
              <a:gd name="adj" fmla="val 7067"/>
            </a:avLst>
          </a:prstGeom>
          <a:ln>
            <a:noFill/>
          </a:ln>
          <a:effectLst>
            <a:outerShdw blurRad="152400" dist="12000" dir="900000" sy="98000" kx="110000" ky="200000" algn="tl" rotWithShape="0">
              <a:srgbClr val="000000">
                <a:alpha val="30000"/>
              </a:srgbClr>
            </a:outerShdw>
          </a:effectLst>
          <a:scene3d>
            <a:camera prst="perspectiveRelaxed" fov="6000000">
              <a:rot lat="19799999" lon="1200000" rev="20399999"/>
            </a:camera>
            <a:lightRig rig="threePt" dir="t"/>
          </a:scene3d>
          <a:sp3d contourW="6350" prstMaterial="matte">
            <a:bevelT w="101600" h="101600"/>
            <a:contourClr>
              <a:srgbClr val="969696"/>
            </a:contourClr>
          </a:sp3d>
        </xdr:spPr>
      </xdr:pic>
      <xdr:pic>
        <xdr:nvPicPr>
          <xdr:cNvPr id="6" name="Picture 5">
            <a:extLst>
              <a:ext uri="{FF2B5EF4-FFF2-40B4-BE49-F238E27FC236}">
                <a16:creationId xmlns:a16="http://schemas.microsoft.com/office/drawing/2014/main" id="{B09A13AE-5BDD-4334-A622-241DC01A74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76275450" y="6207900"/>
            <a:ext cx="2383200" cy="2449875"/>
          </a:xfrm>
          <a:prstGeom prst="roundRect">
            <a:avLst>
              <a:gd name="adj" fmla="val 7067"/>
            </a:avLst>
          </a:prstGeom>
          <a:ln>
            <a:noFill/>
          </a:ln>
          <a:effectLst>
            <a:outerShdw blurRad="152400" dist="12000" dir="900000" sy="98000" kx="110000" ky="200000" algn="tl" rotWithShape="0">
              <a:srgbClr val="000000">
                <a:alpha val="30000"/>
              </a:srgbClr>
            </a:outerShdw>
          </a:effectLst>
          <a:scene3d>
            <a:camera prst="perspectiveRelaxed" fov="6000000">
              <a:rot lat="19799999" lon="1200000" rev="20399999"/>
            </a:camera>
            <a:lightRig rig="threePt" dir="t"/>
          </a:scene3d>
          <a:sp3d contourW="6350" prstMaterial="matte">
            <a:bevelT w="101600" h="101600"/>
            <a:contourClr>
              <a:srgbClr val="969696"/>
            </a:contourClr>
          </a:sp3d>
        </xdr:spPr>
      </xdr:pic>
      <xdr:pic>
        <xdr:nvPicPr>
          <xdr:cNvPr id="7" name="Picture 6">
            <a:extLst>
              <a:ext uri="{FF2B5EF4-FFF2-40B4-BE49-F238E27FC236}">
                <a16:creationId xmlns:a16="http://schemas.microsoft.com/office/drawing/2014/main" id="{83952212-EFD6-468E-9FAF-873BC6AE3A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980052113" y="6207900"/>
            <a:ext cx="2383200" cy="2449875"/>
          </a:xfrm>
          <a:prstGeom prst="roundRect">
            <a:avLst>
              <a:gd name="adj" fmla="val 7067"/>
            </a:avLst>
          </a:prstGeom>
          <a:ln>
            <a:noFill/>
          </a:ln>
          <a:effectLst>
            <a:outerShdw blurRad="152400" dist="12000" dir="900000" sy="98000" kx="110000" ky="200000" algn="tl" rotWithShape="0">
              <a:srgbClr val="000000">
                <a:alpha val="30000"/>
              </a:srgbClr>
            </a:outerShdw>
          </a:effectLst>
          <a:scene3d>
            <a:camera prst="perspectiveRelaxed" fov="6000000">
              <a:rot lat="19799999" lon="1200000" rev="20399999"/>
            </a:camera>
            <a:lightRig rig="threePt" dir="t"/>
          </a:scene3d>
          <a:sp3d contourW="6350" prstMaterial="matte">
            <a:bevelT w="101600" h="101600"/>
            <a:contourClr>
              <a:srgbClr val="969696"/>
            </a:contourClr>
          </a:sp3d>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32CC4-DEBE-44F3-A54A-9A16E840AD57}">
  <sheetPr codeName="Sheet1">
    <tabColor rgb="FFFFFF00"/>
  </sheetPr>
  <dimension ref="B1:N23"/>
  <sheetViews>
    <sheetView showGridLines="0" rightToLeft="1" tabSelected="1" zoomScaleNormal="100" workbookViewId="0">
      <selection activeCell="F5" sqref="F5"/>
    </sheetView>
  </sheetViews>
  <sheetFormatPr defaultColWidth="9" defaultRowHeight="24.95" customHeight="1" x14ac:dyDescent="0.25"/>
  <cols>
    <col min="1" max="1" width="1.7109375" style="1" customWidth="1"/>
    <col min="2" max="2" width="7.7109375" style="88" customWidth="1"/>
    <col min="3" max="4" width="10.7109375" style="1" customWidth="1"/>
    <col min="5" max="6" width="17.7109375" style="1" customWidth="1"/>
    <col min="7" max="7" width="15.7109375" style="1" customWidth="1"/>
    <col min="8" max="8" width="17.7109375" style="1" customWidth="1"/>
    <col min="9" max="9" width="15.7109375" style="1" customWidth="1"/>
    <col min="10" max="10" width="17.7109375" style="1" customWidth="1"/>
    <col min="11" max="11" width="15.7109375" style="1" customWidth="1"/>
    <col min="12" max="12" width="17.7109375" style="1" customWidth="1"/>
    <col min="13" max="13" width="20.7109375" style="1" customWidth="1"/>
    <col min="14" max="16" width="8.5703125" style="1" customWidth="1"/>
    <col min="17" max="16384" width="9" style="1"/>
  </cols>
  <sheetData>
    <row r="1" spans="2:14" ht="7.5" customHeight="1" thickBot="1" x14ac:dyDescent="0.3"/>
    <row r="2" spans="2:14" ht="31.5" customHeight="1" thickTop="1" thickBot="1" x14ac:dyDescent="0.3">
      <c r="B2" s="205" t="s">
        <v>148</v>
      </c>
      <c r="C2" s="206"/>
      <c r="D2" s="206"/>
      <c r="E2" s="206"/>
      <c r="F2" s="206"/>
      <c r="G2" s="206"/>
      <c r="H2" s="206"/>
      <c r="I2" s="206"/>
      <c r="J2" s="206"/>
      <c r="K2" s="206"/>
      <c r="L2" s="206"/>
      <c r="M2" s="207"/>
      <c r="N2" s="90"/>
    </row>
    <row r="3" spans="2:14" ht="13.5" customHeight="1" thickTop="1" thickBot="1" x14ac:dyDescent="0.3"/>
    <row r="4" spans="2:14" ht="30" customHeight="1" thickTop="1" thickBot="1" x14ac:dyDescent="0.3">
      <c r="B4" s="208" t="s">
        <v>127</v>
      </c>
      <c r="C4" s="209"/>
      <c r="D4" s="209"/>
      <c r="E4" s="209"/>
      <c r="F4" s="209"/>
      <c r="G4" s="209"/>
      <c r="H4" s="209"/>
      <c r="I4" s="209"/>
      <c r="J4" s="209"/>
      <c r="K4" s="209"/>
      <c r="L4" s="209"/>
      <c r="M4" s="210"/>
    </row>
    <row r="5" spans="2:14" ht="30" customHeight="1" thickTop="1" thickBot="1" x14ac:dyDescent="0.3">
      <c r="B5" s="211" t="s">
        <v>123</v>
      </c>
      <c r="C5" s="212"/>
      <c r="D5" s="212"/>
      <c r="E5" s="212"/>
      <c r="F5" s="121">
        <v>0</v>
      </c>
      <c r="G5" s="215" t="s">
        <v>124</v>
      </c>
      <c r="H5" s="216"/>
      <c r="I5" s="216"/>
      <c r="J5" s="121">
        <v>0</v>
      </c>
      <c r="K5" s="215" t="s">
        <v>125</v>
      </c>
      <c r="L5" s="216"/>
      <c r="M5" s="122">
        <v>0</v>
      </c>
    </row>
    <row r="6" spans="2:14" ht="12.75" customHeight="1" thickTop="1" thickBot="1" x14ac:dyDescent="0.3"/>
    <row r="7" spans="2:14" ht="39.950000000000003" customHeight="1" thickTop="1" thickBot="1" x14ac:dyDescent="0.3">
      <c r="B7" s="219" t="s">
        <v>128</v>
      </c>
      <c r="C7" s="220"/>
      <c r="D7" s="220"/>
      <c r="E7" s="220"/>
      <c r="F7" s="93">
        <f>واریزی‌ها!$J$4-هزینه‌ها!$J$4</f>
        <v>0</v>
      </c>
      <c r="G7" s="213" t="str">
        <f>"طلب ریالی مجتمع از واحدها تا "&amp;$E$9&amp;" ماه سال "&amp;$F$9&amp;" :"</f>
        <v>طلب ریالی مجتمع از واحدها تا فروردین ماه سال 1400 :</v>
      </c>
      <c r="H7" s="214"/>
      <c r="I7" s="214"/>
      <c r="J7" s="92">
        <f>M17</f>
        <v>0</v>
      </c>
      <c r="K7" s="217" t="s">
        <v>126</v>
      </c>
      <c r="L7" s="218"/>
      <c r="M7" s="92">
        <f>COUNTIF(M12:M16,"&gt;"&amp;0)</f>
        <v>0</v>
      </c>
    </row>
    <row r="8" spans="2:14" ht="15.75" customHeight="1" thickTop="1" x14ac:dyDescent="0.25"/>
    <row r="9" spans="2:14" ht="24.95" customHeight="1" thickBot="1" x14ac:dyDescent="0.3">
      <c r="B9" s="221" t="s">
        <v>114</v>
      </c>
      <c r="C9" s="221"/>
      <c r="D9" s="221"/>
      <c r="E9" s="123" t="s">
        <v>66</v>
      </c>
      <c r="F9" s="124">
        <v>1400</v>
      </c>
      <c r="G9" s="91" t="s">
        <v>113</v>
      </c>
    </row>
    <row r="10" spans="2:14" ht="5.25" customHeight="1" thickBot="1" x14ac:dyDescent="0.3"/>
    <row r="11" spans="2:14" ht="45.75" customHeight="1" thickTop="1" thickBot="1" x14ac:dyDescent="0.3">
      <c r="B11" s="84" t="s">
        <v>0</v>
      </c>
      <c r="C11" s="85" t="s">
        <v>1</v>
      </c>
      <c r="D11" s="85" t="s">
        <v>2</v>
      </c>
      <c r="E11" s="86" t="s">
        <v>115</v>
      </c>
      <c r="F11" s="86" t="s">
        <v>119</v>
      </c>
      <c r="G11" s="86" t="s">
        <v>116</v>
      </c>
      <c r="H11" s="86" t="s">
        <v>120</v>
      </c>
      <c r="I11" s="86" t="s">
        <v>117</v>
      </c>
      <c r="J11" s="86" t="s">
        <v>121</v>
      </c>
      <c r="K11" s="86" t="s">
        <v>118</v>
      </c>
      <c r="L11" s="86" t="s">
        <v>122</v>
      </c>
      <c r="M11" s="204" t="s">
        <v>129</v>
      </c>
    </row>
    <row r="12" spans="2:14" ht="24.95" customHeight="1" thickTop="1" x14ac:dyDescent="0.25">
      <c r="B12" s="87">
        <f>ROW()-11</f>
        <v>1</v>
      </c>
      <c r="C12" s="193" t="str">
        <f>'مشخصات واحدها'!B2</f>
        <v>همکف</v>
      </c>
      <c r="D12" s="193">
        <f>'مشخصات واحدها'!C2</f>
        <v>1</v>
      </c>
      <c r="E12" s="125">
        <v>0</v>
      </c>
      <c r="F12" s="95">
        <f>ROUND(_xlfn.IFS(OR($E$9="فروردین",$E$9="اردیبهشت",$E$9="خرداد",$E$9="تیر",$E$9="مرداد",$E$9="شهریور"),((E12*$J$5)/31)+(((31-E12)*$F$5)/31),OR($E$9="مهر",$E$9="آبان",$E$9="آذر",$E$9="دی",$E$9="بهمن"),((E12*$J$5)/30)+(((30-E12)*$F$5)/30),OR($E$9="اسفند"),IF(MOD($F$9,4)=3,((E12*$J$5)/30)+(((30-E12)*$F$5)/30),((E12*$J$5)/29)+(((29-E12)*$F$5)/29)))/1000,0)*1000</f>
        <v>0</v>
      </c>
      <c r="G12" s="127" t="s">
        <v>49</v>
      </c>
      <c r="H12" s="94" t="str">
        <f>آب‌بها!P16</f>
        <v>-</v>
      </c>
      <c r="I12" s="132" t="s">
        <v>50</v>
      </c>
      <c r="J12" s="97">
        <f>$M$5</f>
        <v>0</v>
      </c>
      <c r="K12" s="128" t="s">
        <v>48</v>
      </c>
      <c r="L12" s="129">
        <v>0</v>
      </c>
      <c r="M12" s="99">
        <f>IF(G12="پرداخت شده",0,F12)+IF(ISNUMBER(H12),IF(OR(I12="پرداخت شده",I12="به حساب شارژ"),0,H12),0)+IF(K12="پرداخت شده",0,J12)+L12</f>
        <v>0</v>
      </c>
    </row>
    <row r="13" spans="2:14" ht="24.95" customHeight="1" x14ac:dyDescent="0.25">
      <c r="B13" s="87">
        <f t="shared" ref="B13:B16" si="0">ROW()-11</f>
        <v>2</v>
      </c>
      <c r="C13" s="193" t="str">
        <f>'مشخصات واحدها'!B3</f>
        <v>اوّل</v>
      </c>
      <c r="D13" s="193">
        <f>'مشخصات واحدها'!C3</f>
        <v>12</v>
      </c>
      <c r="E13" s="125">
        <v>0</v>
      </c>
      <c r="F13" s="95">
        <f t="shared" ref="F13:F16" si="1">ROUND(_xlfn.IFS(OR($E$9="فروردین",$E$9="اردیبهشت",$E$9="خرداد",$E$9="تیر",$E$9="مرداد",$E$9="شهریور"),((E13*$J$5)/31)+(((31-E13)*$F$5)/31),OR($E$9="مهر",$E$9="آبان",$E$9="آذر",$E$9="دی",$E$9="بهمن"),((E13*$J$5)/30)+(((30-E13)*$F$5)/30),OR($E$9="اسفند"),IF(MOD($F$9,4)=3,((E13*$J$5)/30)+(((30-E13)*$F$5)/30),((E13*$J$5)/29)+(((29-E13)*$F$5)/29)))/1000,0)*1000</f>
        <v>0</v>
      </c>
      <c r="G13" s="127" t="s">
        <v>49</v>
      </c>
      <c r="H13" s="94" t="str">
        <f>آب‌بها!P17</f>
        <v>-</v>
      </c>
      <c r="I13" s="132" t="s">
        <v>50</v>
      </c>
      <c r="J13" s="97">
        <f t="shared" ref="J13:J16" si="2">$M$5</f>
        <v>0</v>
      </c>
      <c r="K13" s="128" t="s">
        <v>48</v>
      </c>
      <c r="L13" s="129">
        <v>0</v>
      </c>
      <c r="M13" s="99">
        <f t="shared" ref="M13:M16" si="3">IF(G13="پرداخت شده",0,F13)+IF(ISNUMBER(H13),IF(OR(I13="پرداخت شده",I13="به حساب شارژ"),0,H13),0)+IF(K13="پرداخت شده",0,J13)+L13</f>
        <v>0</v>
      </c>
    </row>
    <row r="14" spans="2:14" ht="24.95" customHeight="1" x14ac:dyDescent="0.25">
      <c r="B14" s="87">
        <f t="shared" si="0"/>
        <v>3</v>
      </c>
      <c r="C14" s="193" t="str">
        <f>'مشخصات واحدها'!B4</f>
        <v>دوم</v>
      </c>
      <c r="D14" s="193">
        <f>'مشخصات واحدها'!C4</f>
        <v>23</v>
      </c>
      <c r="E14" s="125">
        <v>0</v>
      </c>
      <c r="F14" s="95">
        <f t="shared" si="1"/>
        <v>0</v>
      </c>
      <c r="G14" s="127" t="s">
        <v>49</v>
      </c>
      <c r="H14" s="94" t="str">
        <f>آب‌بها!P18</f>
        <v>-</v>
      </c>
      <c r="I14" s="132" t="s">
        <v>50</v>
      </c>
      <c r="J14" s="97">
        <f t="shared" si="2"/>
        <v>0</v>
      </c>
      <c r="K14" s="128" t="s">
        <v>48</v>
      </c>
      <c r="L14" s="129">
        <v>0</v>
      </c>
      <c r="M14" s="99">
        <f t="shared" si="3"/>
        <v>0</v>
      </c>
    </row>
    <row r="15" spans="2:14" ht="24.95" customHeight="1" x14ac:dyDescent="0.25">
      <c r="B15" s="87">
        <f t="shared" si="0"/>
        <v>4</v>
      </c>
      <c r="C15" s="193" t="str">
        <f>'مشخصات واحدها'!B5</f>
        <v>سوم</v>
      </c>
      <c r="D15" s="193">
        <f>'مشخصات واحدها'!C5</f>
        <v>34</v>
      </c>
      <c r="E15" s="125">
        <v>0</v>
      </c>
      <c r="F15" s="95">
        <f t="shared" si="1"/>
        <v>0</v>
      </c>
      <c r="G15" s="127" t="s">
        <v>49</v>
      </c>
      <c r="H15" s="94" t="str">
        <f>آب‌بها!P19</f>
        <v>-</v>
      </c>
      <c r="I15" s="132" t="s">
        <v>50</v>
      </c>
      <c r="J15" s="97">
        <f t="shared" si="2"/>
        <v>0</v>
      </c>
      <c r="K15" s="128" t="s">
        <v>48</v>
      </c>
      <c r="L15" s="129">
        <v>0</v>
      </c>
      <c r="M15" s="99">
        <f t="shared" si="3"/>
        <v>0</v>
      </c>
    </row>
    <row r="16" spans="2:14" ht="24.95" customHeight="1" thickBot="1" x14ac:dyDescent="0.3">
      <c r="B16" s="87">
        <f t="shared" si="0"/>
        <v>5</v>
      </c>
      <c r="C16" s="193" t="str">
        <f>'مشخصات واحدها'!B6</f>
        <v>چهارم</v>
      </c>
      <c r="D16" s="193">
        <f>'مشخصات واحدها'!C6</f>
        <v>45</v>
      </c>
      <c r="E16" s="126">
        <v>0</v>
      </c>
      <c r="F16" s="96">
        <f t="shared" si="1"/>
        <v>0</v>
      </c>
      <c r="G16" s="127" t="s">
        <v>49</v>
      </c>
      <c r="H16" s="94" t="str">
        <f>آب‌بها!P20</f>
        <v>-</v>
      </c>
      <c r="I16" s="133" t="s">
        <v>50</v>
      </c>
      <c r="J16" s="98">
        <f t="shared" si="2"/>
        <v>0</v>
      </c>
      <c r="K16" s="130" t="s">
        <v>48</v>
      </c>
      <c r="L16" s="131">
        <v>0</v>
      </c>
      <c r="M16" s="99">
        <f t="shared" si="3"/>
        <v>0</v>
      </c>
    </row>
    <row r="17" spans="2:13" ht="12.95" customHeight="1" thickTop="1" x14ac:dyDescent="0.25">
      <c r="B17" s="222" t="s">
        <v>133</v>
      </c>
      <c r="C17" s="223"/>
      <c r="D17" s="223"/>
      <c r="E17" s="223"/>
      <c r="F17" s="230" t="s">
        <v>130</v>
      </c>
      <c r="G17" s="232">
        <f>SUMIF(G12:G16,"پرداخت شده",F12:F16)</f>
        <v>0</v>
      </c>
      <c r="H17" s="230" t="s">
        <v>130</v>
      </c>
      <c r="I17" s="232">
        <f>SUMIF(I12:I16,"پرداخت شده",H12:H16)</f>
        <v>0</v>
      </c>
      <c r="J17" s="230" t="s">
        <v>130</v>
      </c>
      <c r="K17" s="232">
        <f>SUMIF(K12:K16,"پرداخت شده",J12:J16)</f>
        <v>0</v>
      </c>
      <c r="L17" s="237">
        <f>SUM(L12:L16)</f>
        <v>0</v>
      </c>
      <c r="M17" s="240">
        <f>SUM(M12:M16)</f>
        <v>0</v>
      </c>
    </row>
    <row r="18" spans="2:13" ht="12.95" customHeight="1" x14ac:dyDescent="0.25">
      <c r="B18" s="224"/>
      <c r="C18" s="225"/>
      <c r="D18" s="225"/>
      <c r="E18" s="225"/>
      <c r="F18" s="231"/>
      <c r="G18" s="228"/>
      <c r="H18" s="231"/>
      <c r="I18" s="228"/>
      <c r="J18" s="231"/>
      <c r="K18" s="228"/>
      <c r="L18" s="238"/>
      <c r="M18" s="241"/>
    </row>
    <row r="19" spans="2:13" ht="12.95" customHeight="1" x14ac:dyDescent="0.25">
      <c r="B19" s="224"/>
      <c r="C19" s="225"/>
      <c r="D19" s="225"/>
      <c r="E19" s="225"/>
      <c r="F19" s="231"/>
      <c r="G19" s="228"/>
      <c r="H19" s="233" t="s">
        <v>131</v>
      </c>
      <c r="I19" s="228">
        <f>SUMIF(I12:I16,"پرداخت نشده",H12:H16)</f>
        <v>0</v>
      </c>
      <c r="J19" s="231"/>
      <c r="K19" s="228"/>
      <c r="L19" s="238"/>
      <c r="M19" s="241"/>
    </row>
    <row r="20" spans="2:13" ht="12.95" customHeight="1" x14ac:dyDescent="0.25">
      <c r="B20" s="224"/>
      <c r="C20" s="225"/>
      <c r="D20" s="225"/>
      <c r="E20" s="225"/>
      <c r="F20" s="233" t="s">
        <v>131</v>
      </c>
      <c r="G20" s="228">
        <f>SUMIF(G12:G16,"پرداخت نشده",F12:F16)</f>
        <v>0</v>
      </c>
      <c r="H20" s="233"/>
      <c r="I20" s="228"/>
      <c r="J20" s="233" t="s">
        <v>131</v>
      </c>
      <c r="K20" s="228">
        <f>SUMIF(K12:K16,"پرداخت نشده",J12:J16)</f>
        <v>0</v>
      </c>
      <c r="L20" s="238"/>
      <c r="M20" s="241"/>
    </row>
    <row r="21" spans="2:13" ht="12.95" customHeight="1" x14ac:dyDescent="0.25">
      <c r="B21" s="224"/>
      <c r="C21" s="225"/>
      <c r="D21" s="225"/>
      <c r="E21" s="225"/>
      <c r="F21" s="233"/>
      <c r="G21" s="228"/>
      <c r="H21" s="235" t="s">
        <v>132</v>
      </c>
      <c r="I21" s="228">
        <f>SUMIF(I12:I16,"به حساب شارژ",H12:H16)</f>
        <v>0</v>
      </c>
      <c r="J21" s="233"/>
      <c r="K21" s="228"/>
      <c r="L21" s="238"/>
      <c r="M21" s="241"/>
    </row>
    <row r="22" spans="2:13" ht="12.95" customHeight="1" thickBot="1" x14ac:dyDescent="0.3">
      <c r="B22" s="226"/>
      <c r="C22" s="227"/>
      <c r="D22" s="227"/>
      <c r="E22" s="227"/>
      <c r="F22" s="234"/>
      <c r="G22" s="229"/>
      <c r="H22" s="236"/>
      <c r="I22" s="229"/>
      <c r="J22" s="234"/>
      <c r="K22" s="229"/>
      <c r="L22" s="239"/>
      <c r="M22" s="242"/>
    </row>
    <row r="23" spans="2:13" ht="24.95" customHeight="1" thickTop="1" x14ac:dyDescent="0.25"/>
  </sheetData>
  <sheetProtection algorithmName="SHA-512" hashValue="NzNYKT9gsRE89a/Am9MD8NvRudT3mMpoOvN5A10C3oBrpfN13uL8EKyjuHwdT2EFvuyqekscpqchsK5Uv6gNbA==" saltValue="UqXROrm09RsrUooMhQxt4w==" spinCount="100000" sheet="1" objects="1" scenarios="1" selectLockedCells="1"/>
  <mergeCells count="26">
    <mergeCell ref="K17:K19"/>
    <mergeCell ref="J20:J22"/>
    <mergeCell ref="K20:K22"/>
    <mergeCell ref="L17:L22"/>
    <mergeCell ref="M17:M22"/>
    <mergeCell ref="B9:D9"/>
    <mergeCell ref="B17:E22"/>
    <mergeCell ref="I19:I20"/>
    <mergeCell ref="I21:I22"/>
    <mergeCell ref="J17:J19"/>
    <mergeCell ref="F17:F19"/>
    <mergeCell ref="G17:G19"/>
    <mergeCell ref="F20:F22"/>
    <mergeCell ref="G20:G22"/>
    <mergeCell ref="H17:H18"/>
    <mergeCell ref="H19:H20"/>
    <mergeCell ref="H21:H22"/>
    <mergeCell ref="I17:I18"/>
    <mergeCell ref="B2:M2"/>
    <mergeCell ref="B4:M4"/>
    <mergeCell ref="B5:E5"/>
    <mergeCell ref="G7:I7"/>
    <mergeCell ref="G5:I5"/>
    <mergeCell ref="K5:L5"/>
    <mergeCell ref="K7:L7"/>
    <mergeCell ref="B7:E7"/>
  </mergeCells>
  <conditionalFormatting sqref="F7">
    <cfRule type="cellIs" dxfId="13" priority="7" operator="lessThanOrEqual">
      <formula>0</formula>
    </cfRule>
  </conditionalFormatting>
  <conditionalFormatting sqref="J7">
    <cfRule type="cellIs" dxfId="12" priority="6" operator="greaterThan">
      <formula>0</formula>
    </cfRule>
  </conditionalFormatting>
  <conditionalFormatting sqref="M7">
    <cfRule type="cellIs" dxfId="11" priority="5" operator="greaterThan">
      <formula>0</formula>
    </cfRule>
  </conditionalFormatting>
  <conditionalFormatting sqref="G12:G16 I12:I16 K12:K16">
    <cfRule type="containsText" dxfId="10" priority="2" operator="containsText" text="به حساب شارژ">
      <formula>NOT(ISERROR(SEARCH("به حساب شارژ",G12)))</formula>
    </cfRule>
    <cfRule type="containsText" dxfId="9" priority="3" operator="containsText" text="پرداخت نشده">
      <formula>NOT(ISERROR(SEARCH("پرداخت نشده",G12)))</formula>
    </cfRule>
    <cfRule type="containsText" dxfId="8" priority="4" operator="containsText" text="پرداخت شده">
      <formula>NOT(ISERROR(SEARCH("پرداخت شده",G12)))</formula>
    </cfRule>
  </conditionalFormatting>
  <conditionalFormatting sqref="M12:M16">
    <cfRule type="colorScale" priority="52">
      <colorScale>
        <cfvo type="min"/>
        <cfvo type="num" val="0"/>
        <cfvo type="max"/>
        <color rgb="FF00B050"/>
        <color rgb="FFFFFF00"/>
        <color rgb="FFFF0000"/>
      </colorScale>
    </cfRule>
  </conditionalFormatting>
  <dataValidations count="3">
    <dataValidation type="whole" operator="greaterThanOrEqual" showInputMessage="1" showErrorMessage="1" errorTitle="خطا در ورود اطلاعات!" error="مبلغ مندرج باید عددی غیر اعشاری و نامنفی باشد." sqref="M5 F5 J5" xr:uid="{2F8CEC00-E933-494F-A53C-30CF637F60D0}">
      <formula1>0</formula1>
    </dataValidation>
    <dataValidation type="whole" showInputMessage="1" showErrorMessage="1" errorTitle="خطا در ورود اطلاعات!" error="تعداد روزهای مندرج باید عددی بین 0 تا 29 ، 30 یا 31 (بسته به ماهِ سال) باشد." sqref="E12:E16" xr:uid="{CB16E5E4-FB34-48E7-8410-B92C73CC8F36}">
      <formula1>0</formula1>
      <formula2>31</formula2>
    </dataValidation>
    <dataValidation type="whole" operator="notEqual" showInputMessage="1" showErrorMessage="1" errorTitle="خطا در ورود اطلاعات!" error="مبلغ مندرج باید عددی غیر اعشاری باشد." sqref="L12:L16" xr:uid="{38CEF979-1414-4B01-A41D-82BFE47A450E}">
      <formula1>8.71123436302458E+26</formula1>
    </dataValidation>
  </dataValidations>
  <pageMargins left="0.7" right="0.7" top="0.75" bottom="0.75" header="0.3" footer="0.3"/>
  <pageSetup orientation="portrait" copies="0" r:id="rId1"/>
  <legacyDrawing r:id="rId2"/>
  <extLst>
    <ext xmlns:x14="http://schemas.microsoft.com/office/spreadsheetml/2009/9/main" uri="{CCE6A557-97BC-4b89-ADB6-D9C93CAAB3DF}">
      <x14:dataValidations xmlns:xm="http://schemas.microsoft.com/office/excel/2006/main" count="4">
        <x14:dataValidation type="list" showInputMessage="1" showErrorMessage="1" errorTitle="خطا در ورود اطلاعات!" error="لطفاً یکی از گزینه‌های لیست شده را انتخاب نمایید." xr:uid="{A436D093-B2AA-4B88-8CD6-FE5A0D272635}">
          <x14:formula1>
            <xm:f>پارامترها!$G$2:$G$13</xm:f>
          </x14:formula1>
          <xm:sqref>E9</xm:sqref>
        </x14:dataValidation>
        <x14:dataValidation type="list" showInputMessage="1" showErrorMessage="1" errorTitle="خطا در ورود اطلاعات!" error="لطفاً یکی از گزینه‌های لیست شده را انتخاب نمایید." xr:uid="{1BBB19B3-C395-407D-88D6-829FBBFAD58D}">
          <x14:formula1>
            <xm:f>پارامترها!$H$2:$H$13</xm:f>
          </x14:formula1>
          <xm:sqref>F9</xm:sqref>
        </x14:dataValidation>
        <x14:dataValidation type="list" showInputMessage="1" showErrorMessage="1" errorTitle="خطا در ورود اطلاعات!" error="لطفاً یکی از گزینه‌های لیست شده را انتخاب نمایید." xr:uid="{8A8E1A4D-6919-448E-86B5-AC105F8E2B9C}">
          <x14:formula1>
            <xm:f>پارامترها!$D$2:$D$3</xm:f>
          </x14:formula1>
          <xm:sqref>G12:G16 K12:K16</xm:sqref>
        </x14:dataValidation>
        <x14:dataValidation type="list" showInputMessage="1" showErrorMessage="1" errorTitle="خطا در ورود اطلاعات!" error="لطفاً یکی از گزینه‌های لیست شده را انتخاب نمایید." xr:uid="{A3085656-882E-4B9E-8BBB-F2732C386C92}">
          <x14:formula1>
            <xm:f>پارامترها!$D$2:$D$4</xm:f>
          </x14:formula1>
          <xm:sqref>I12:I16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1B25B-36E2-4C17-98A2-D9B64C4B8FE0}">
  <sheetPr codeName="Sheet2">
    <tabColor rgb="FF00B050"/>
  </sheetPr>
  <dimension ref="B1:L27"/>
  <sheetViews>
    <sheetView showGridLines="0" rightToLeft="1" workbookViewId="0">
      <pane ySplit="5" topLeftCell="A6" activePane="bottomLeft" state="frozen"/>
      <selection pane="bottomLeft" activeCell="C6" sqref="C6"/>
    </sheetView>
  </sheetViews>
  <sheetFormatPr defaultColWidth="9" defaultRowHeight="22.5" customHeight="1" x14ac:dyDescent="0.25"/>
  <cols>
    <col min="1" max="1" width="1.7109375" style="1" customWidth="1"/>
    <col min="2" max="2" width="8.7109375" style="32" customWidth="1"/>
    <col min="3" max="3" width="25.7109375" style="33" customWidth="1"/>
    <col min="4" max="4" width="20.7109375" style="1" customWidth="1"/>
    <col min="5" max="5" width="20.7109375" style="32" customWidth="1"/>
    <col min="6" max="6" width="50.7109375" style="1" customWidth="1"/>
    <col min="7" max="7" width="1.7109375" style="1" customWidth="1"/>
    <col min="8" max="9" width="10.7109375" style="1" customWidth="1"/>
    <col min="10" max="11" width="13.7109375" style="1" customWidth="1"/>
    <col min="12" max="12" width="7.7109375" style="1" customWidth="1"/>
    <col min="13" max="16384" width="9" style="1"/>
  </cols>
  <sheetData>
    <row r="1" spans="2:12" ht="7.5" customHeight="1" thickBot="1" x14ac:dyDescent="0.3"/>
    <row r="2" spans="2:12" ht="31.5" customHeight="1" thickTop="1" thickBot="1" x14ac:dyDescent="0.3">
      <c r="B2" s="250" t="s">
        <v>158</v>
      </c>
      <c r="C2" s="251"/>
      <c r="D2" s="251"/>
      <c r="E2" s="251"/>
      <c r="F2" s="251"/>
      <c r="G2" s="251"/>
      <c r="H2" s="251"/>
      <c r="I2" s="251"/>
      <c r="J2" s="251"/>
      <c r="K2" s="251"/>
      <c r="L2" s="252"/>
    </row>
    <row r="3" spans="2:12" ht="12.75" customHeight="1" thickTop="1" thickBot="1" x14ac:dyDescent="0.3"/>
    <row r="4" spans="2:12" ht="22.5" customHeight="1" thickTop="1" x14ac:dyDescent="0.25">
      <c r="B4" s="253" t="s">
        <v>56</v>
      </c>
      <c r="C4" s="255" t="s">
        <v>57</v>
      </c>
      <c r="D4" s="257" t="s">
        <v>63</v>
      </c>
      <c r="E4" s="259" t="s">
        <v>64</v>
      </c>
      <c r="F4" s="261" t="s">
        <v>58</v>
      </c>
      <c r="H4" s="263" t="s">
        <v>65</v>
      </c>
      <c r="I4" s="264"/>
      <c r="J4" s="267">
        <f>SUM(E6:E25)</f>
        <v>0</v>
      </c>
      <c r="K4" s="267"/>
      <c r="L4" s="269" t="s">
        <v>54</v>
      </c>
    </row>
    <row r="5" spans="2:12" ht="22.5" customHeight="1" thickBot="1" x14ac:dyDescent="0.3">
      <c r="B5" s="254"/>
      <c r="C5" s="256"/>
      <c r="D5" s="258"/>
      <c r="E5" s="260"/>
      <c r="F5" s="262"/>
      <c r="H5" s="265"/>
      <c r="I5" s="266"/>
      <c r="J5" s="268"/>
      <c r="K5" s="268"/>
      <c r="L5" s="270"/>
    </row>
    <row r="6" spans="2:12" ht="22.5" customHeight="1" thickTop="1" thickBot="1" x14ac:dyDescent="0.3">
      <c r="B6" s="38">
        <f>ROW()-5</f>
        <v>1</v>
      </c>
      <c r="C6" s="79"/>
      <c r="D6" s="138"/>
      <c r="E6" s="135"/>
      <c r="F6" s="134" t="s">
        <v>46</v>
      </c>
      <c r="H6" s="34"/>
      <c r="I6" s="34"/>
      <c r="J6" s="35"/>
      <c r="K6" s="35"/>
      <c r="L6" s="36"/>
    </row>
    <row r="7" spans="2:12" ht="22.5" customHeight="1" thickTop="1" x14ac:dyDescent="0.25">
      <c r="B7" s="38">
        <f t="shared" ref="B7:B24" si="0">ROW()-5</f>
        <v>2</v>
      </c>
      <c r="C7" s="81"/>
      <c r="D7" s="138"/>
      <c r="E7" s="136"/>
      <c r="F7" s="134" t="s">
        <v>46</v>
      </c>
      <c r="H7" s="274" t="s">
        <v>101</v>
      </c>
      <c r="I7" s="275"/>
      <c r="J7" s="275"/>
      <c r="K7" s="243" t="s">
        <v>99</v>
      </c>
      <c r="L7" s="244"/>
    </row>
    <row r="8" spans="2:12" ht="22.5" customHeight="1" thickBot="1" x14ac:dyDescent="0.3">
      <c r="B8" s="38">
        <f t="shared" si="0"/>
        <v>3</v>
      </c>
      <c r="C8" s="81"/>
      <c r="D8" s="138"/>
      <c r="E8" s="136"/>
      <c r="F8" s="134" t="s">
        <v>46</v>
      </c>
      <c r="H8" s="276"/>
      <c r="I8" s="277"/>
      <c r="J8" s="277"/>
      <c r="K8" s="245"/>
      <c r="L8" s="246"/>
    </row>
    <row r="9" spans="2:12" ht="22.5" customHeight="1" thickTop="1" thickBot="1" x14ac:dyDescent="0.3">
      <c r="B9" s="38">
        <f t="shared" si="0"/>
        <v>4</v>
      </c>
      <c r="C9" s="81"/>
      <c r="D9" s="138"/>
      <c r="E9" s="136"/>
      <c r="F9" s="134" t="s">
        <v>46</v>
      </c>
      <c r="H9" s="37" t="s">
        <v>52</v>
      </c>
      <c r="I9" s="271"/>
      <c r="J9" s="271"/>
      <c r="K9" s="272">
        <f>IF(K7="",0,IF(K7="کلیه‌ی واریزی‌ها",SUMIFS(E:E,C:C,"&gt;="&amp;I9,C:C,"&lt;="&amp;I10),SUMIFS(E:E,D:D,K7,C:C,"&gt;="&amp;I9,C:C,"&lt;="&amp;I10)))</f>
        <v>0</v>
      </c>
      <c r="L9" s="272"/>
    </row>
    <row r="10" spans="2:12" ht="22.5" customHeight="1" thickTop="1" thickBot="1" x14ac:dyDescent="0.3">
      <c r="B10" s="38">
        <f t="shared" si="0"/>
        <v>5</v>
      </c>
      <c r="C10" s="81"/>
      <c r="D10" s="138"/>
      <c r="E10" s="136"/>
      <c r="F10" s="134" t="s">
        <v>46</v>
      </c>
      <c r="H10" s="37" t="s">
        <v>53</v>
      </c>
      <c r="I10" s="271"/>
      <c r="J10" s="271"/>
      <c r="K10" s="273" t="s">
        <v>55</v>
      </c>
      <c r="L10" s="273"/>
    </row>
    <row r="11" spans="2:12" ht="22.5" customHeight="1" thickTop="1" x14ac:dyDescent="0.25">
      <c r="B11" s="38">
        <f t="shared" si="0"/>
        <v>6</v>
      </c>
      <c r="C11" s="81"/>
      <c r="D11" s="138"/>
      <c r="E11" s="136"/>
      <c r="F11" s="134" t="s">
        <v>46</v>
      </c>
    </row>
    <row r="12" spans="2:12" ht="22.5" customHeight="1" x14ac:dyDescent="0.25">
      <c r="B12" s="38">
        <f t="shared" si="0"/>
        <v>7</v>
      </c>
      <c r="C12" s="81"/>
      <c r="D12" s="138"/>
      <c r="E12" s="136"/>
      <c r="F12" s="134" t="s">
        <v>46</v>
      </c>
    </row>
    <row r="13" spans="2:12" ht="22.5" customHeight="1" x14ac:dyDescent="0.25">
      <c r="B13" s="38">
        <f t="shared" si="0"/>
        <v>8</v>
      </c>
      <c r="C13" s="81"/>
      <c r="D13" s="138"/>
      <c r="E13" s="136"/>
      <c r="F13" s="134" t="s">
        <v>46</v>
      </c>
    </row>
    <row r="14" spans="2:12" ht="22.5" customHeight="1" x14ac:dyDescent="0.25">
      <c r="B14" s="38">
        <f t="shared" si="0"/>
        <v>9</v>
      </c>
      <c r="C14" s="81"/>
      <c r="D14" s="138"/>
      <c r="E14" s="136"/>
      <c r="F14" s="134" t="s">
        <v>46</v>
      </c>
    </row>
    <row r="15" spans="2:12" ht="22.5" customHeight="1" x14ac:dyDescent="0.25">
      <c r="B15" s="38">
        <f t="shared" si="0"/>
        <v>10</v>
      </c>
      <c r="C15" s="81"/>
      <c r="D15" s="138"/>
      <c r="E15" s="136"/>
      <c r="F15" s="134" t="s">
        <v>46</v>
      </c>
    </row>
    <row r="16" spans="2:12" ht="22.5" customHeight="1" x14ac:dyDescent="0.25">
      <c r="B16" s="38">
        <f t="shared" si="0"/>
        <v>11</v>
      </c>
      <c r="C16" s="81"/>
      <c r="D16" s="138"/>
      <c r="E16" s="136"/>
      <c r="F16" s="134" t="s">
        <v>46</v>
      </c>
    </row>
    <row r="17" spans="2:6" ht="22.5" customHeight="1" x14ac:dyDescent="0.25">
      <c r="B17" s="38">
        <f t="shared" si="0"/>
        <v>12</v>
      </c>
      <c r="C17" s="81"/>
      <c r="D17" s="138"/>
      <c r="E17" s="136"/>
      <c r="F17" s="134" t="s">
        <v>46</v>
      </c>
    </row>
    <row r="18" spans="2:6" ht="22.5" customHeight="1" x14ac:dyDescent="0.25">
      <c r="B18" s="38">
        <f t="shared" si="0"/>
        <v>13</v>
      </c>
      <c r="C18" s="81"/>
      <c r="D18" s="138"/>
      <c r="E18" s="136"/>
      <c r="F18" s="134" t="s">
        <v>46</v>
      </c>
    </row>
    <row r="19" spans="2:6" ht="22.5" customHeight="1" x14ac:dyDescent="0.25">
      <c r="B19" s="38">
        <f t="shared" si="0"/>
        <v>14</v>
      </c>
      <c r="C19" s="81"/>
      <c r="D19" s="138"/>
      <c r="E19" s="136"/>
      <c r="F19" s="134" t="s">
        <v>46</v>
      </c>
    </row>
    <row r="20" spans="2:6" ht="22.5" customHeight="1" x14ac:dyDescent="0.25">
      <c r="B20" s="38">
        <f t="shared" si="0"/>
        <v>15</v>
      </c>
      <c r="C20" s="81"/>
      <c r="D20" s="138"/>
      <c r="E20" s="136"/>
      <c r="F20" s="134" t="s">
        <v>46</v>
      </c>
    </row>
    <row r="21" spans="2:6" ht="22.5" customHeight="1" x14ac:dyDescent="0.25">
      <c r="B21" s="38">
        <f t="shared" si="0"/>
        <v>16</v>
      </c>
      <c r="C21" s="81"/>
      <c r="D21" s="138"/>
      <c r="E21" s="136"/>
      <c r="F21" s="134" t="s">
        <v>46</v>
      </c>
    </row>
    <row r="22" spans="2:6" ht="22.5" customHeight="1" x14ac:dyDescent="0.25">
      <c r="B22" s="38">
        <f t="shared" si="0"/>
        <v>17</v>
      </c>
      <c r="C22" s="81"/>
      <c r="D22" s="138"/>
      <c r="E22" s="136"/>
      <c r="F22" s="134" t="s">
        <v>46</v>
      </c>
    </row>
    <row r="23" spans="2:6" ht="22.5" customHeight="1" x14ac:dyDescent="0.25">
      <c r="B23" s="38">
        <f t="shared" si="0"/>
        <v>18</v>
      </c>
      <c r="C23" s="81"/>
      <c r="D23" s="138"/>
      <c r="E23" s="136"/>
      <c r="F23" s="134" t="s">
        <v>46</v>
      </c>
    </row>
    <row r="24" spans="2:6" ht="22.5" customHeight="1" x14ac:dyDescent="0.25">
      <c r="B24" s="38">
        <f t="shared" si="0"/>
        <v>19</v>
      </c>
      <c r="C24" s="81"/>
      <c r="D24" s="138"/>
      <c r="E24" s="136"/>
      <c r="F24" s="134" t="s">
        <v>46</v>
      </c>
    </row>
    <row r="25" spans="2:6" ht="22.5" customHeight="1" thickBot="1" x14ac:dyDescent="0.3">
      <c r="B25" s="38">
        <f t="shared" ref="B25" si="1">ROW()-5</f>
        <v>20</v>
      </c>
      <c r="C25" s="81"/>
      <c r="D25" s="138"/>
      <c r="E25" s="137"/>
      <c r="F25" s="134" t="s">
        <v>46</v>
      </c>
    </row>
    <row r="26" spans="2:6" ht="39.75" customHeight="1" thickTop="1" thickBot="1" x14ac:dyDescent="0.3">
      <c r="B26" s="247" t="s">
        <v>59</v>
      </c>
      <c r="C26" s="248"/>
      <c r="D26" s="249"/>
      <c r="E26" s="40">
        <f>SUM(E6:E25)</f>
        <v>0</v>
      </c>
      <c r="F26" s="39" t="s">
        <v>60</v>
      </c>
    </row>
    <row r="27" spans="2:6" ht="22.5" customHeight="1" thickTop="1" x14ac:dyDescent="0.25"/>
  </sheetData>
  <sheetProtection algorithmName="SHA-512" hashValue="DbxbAKqsr3fnjQ3+hchStiZ2O2mKFOMNsQZsUro/LRXC7hqCSNg9eO0iO8QMTES6qiZAzwJeTSvVPmEADDwh5w==" saltValue="d6AFuM2l+WTKV6hUhUYpjA==" spinCount="100000" sheet="1" objects="1" scenarios="1" selectLockedCells="1"/>
  <mergeCells count="16">
    <mergeCell ref="K7:L8"/>
    <mergeCell ref="B26:D26"/>
    <mergeCell ref="B2:L2"/>
    <mergeCell ref="B4:B5"/>
    <mergeCell ref="C4:C5"/>
    <mergeCell ref="D4:D5"/>
    <mergeCell ref="E4:E5"/>
    <mergeCell ref="F4:F5"/>
    <mergeCell ref="H4:I5"/>
    <mergeCell ref="J4:K5"/>
    <mergeCell ref="L4:L5"/>
    <mergeCell ref="I9:J9"/>
    <mergeCell ref="K9:L9"/>
    <mergeCell ref="I10:J10"/>
    <mergeCell ref="K10:L10"/>
    <mergeCell ref="H7:J8"/>
  </mergeCells>
  <conditionalFormatting sqref="E6:E25">
    <cfRule type="dataBar" priority="53">
      <dataBar>
        <cfvo type="min"/>
        <cfvo type="max"/>
        <color rgb="FF00B050"/>
      </dataBar>
      <extLst>
        <ext xmlns:x14="http://schemas.microsoft.com/office/spreadsheetml/2009/9/main" uri="{B025F937-C7B1-47D3-B67F-A62EFF666E3E}">
          <x14:id>{A2383197-9F50-4A0D-B034-49C9D82FD757}</x14:id>
        </ext>
      </extLst>
    </cfRule>
  </conditionalFormatting>
  <dataValidations count="5">
    <dataValidation showInputMessage="1" showErrorMessage="1" sqref="C6" xr:uid="{BB4EBBB6-6D92-40A8-964D-ACE7776D112D}"/>
    <dataValidation type="date" operator="greaterThanOrEqual" allowBlank="1" showInputMessage="1" showErrorMessage="1" errorTitle="خطا در درج تاریخ!" error="تاریخ مد نظر، نباید کمتر از تاریخ درج شده‌ی قبلی باشد!" sqref="I10:J10" xr:uid="{C60DAE23-D2CD-4681-8004-CA1421F4FE98}">
      <formula1>I9</formula1>
    </dataValidation>
    <dataValidation type="date" operator="greaterThanOrEqual" showInputMessage="1" showErrorMessage="1" errorTitle="خطا در درج تاریخ!" error="تاریخ مد نظر، نباید کمتر از تاریخ درج شده‌ی قبلی باشد!" sqref="C7:C24" xr:uid="{380A1072-E4BB-480C-8B08-A63EC8FFD817}">
      <formula1>C6</formula1>
    </dataValidation>
    <dataValidation type="date" operator="greaterThanOrEqual" showInputMessage="1" showErrorMessage="1" errorTitle="خطا در درج تاریخ!" error="تاریخ مد نظر، نباید کمتر از تاریخ درج شده‌ی قبلی باشد!" sqref="C25" xr:uid="{432CE4F1-8105-462B-ACCC-27F6BA249F31}">
      <formula1>#REF!</formula1>
    </dataValidation>
    <dataValidation type="whole" operator="greaterThanOrEqual" showInputMessage="1" showErrorMessage="1" errorTitle="خطا در ورود اطلاعات!" error="مبلغ مندرج باید عددی غیر اعشاری و نامنفی باشد." sqref="E6:E25" xr:uid="{150751CD-56D1-4C9B-BA28-3CD5FF7EE73A}">
      <formula1>0</formula1>
    </dataValidation>
  </dataValidations>
  <pageMargins left="0.7" right="0.7" top="0.75" bottom="0.75" header="0.3" footer="0.3"/>
  <pageSetup orientation="portrait" copies="0" r:id="rId1"/>
  <legacyDrawing r:id="rId2"/>
  <extLst>
    <ext xmlns:x14="http://schemas.microsoft.com/office/spreadsheetml/2009/9/main" uri="{78C0D931-6437-407d-A8EE-F0AAD7539E65}">
      <x14:conditionalFormattings>
        <x14:conditionalFormatting xmlns:xm="http://schemas.microsoft.com/office/excel/2006/main">
          <x14:cfRule type="dataBar" id="{A2383197-9F50-4A0D-B034-49C9D82FD757}">
            <x14:dataBar minLength="0" maxLength="100" gradient="0">
              <x14:cfvo type="autoMin"/>
              <x14:cfvo type="autoMax"/>
              <x14:negativeFillColor rgb="FFFF0000"/>
              <x14:axisColor rgb="FF000000"/>
            </x14:dataBar>
          </x14:cfRule>
          <xm:sqref>E6:E25</xm:sqref>
        </x14:conditionalFormatting>
      </x14:conditionalFormattings>
    </ext>
    <ext xmlns:x14="http://schemas.microsoft.com/office/spreadsheetml/2009/9/main" uri="{CCE6A557-97BC-4b89-ADB6-D9C93CAAB3DF}">
      <x14:dataValidations xmlns:xm="http://schemas.microsoft.com/office/excel/2006/main" count="2">
        <x14:dataValidation type="list" showInputMessage="1" showErrorMessage="1" errorTitle="خطا در ورود اطلاعات!" error="لطفاً یکی از گزینه‌های لیست شده را انتخاب نمایید." xr:uid="{5AB680D0-30FF-4189-983A-8FC7394720FE}">
          <x14:formula1>
            <xm:f>پارامترها!$E$2:$E$7</xm:f>
          </x14:formula1>
          <xm:sqref>K7:L8</xm:sqref>
        </x14:dataValidation>
        <x14:dataValidation type="list" showInputMessage="1" showErrorMessage="1" errorTitle="خطا در ورود اطلاعات!" error="لطفاً یکی از گزینه‌های لیست شده را انتخاب نمایید." xr:uid="{3CC6C7E7-B693-40E2-A486-ED4B6695FA17}">
          <x14:formula1>
            <xm:f>پارامترها!$E$2:$E$6</xm:f>
          </x14:formula1>
          <xm:sqref>D6:D25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EB062-9292-4DC9-87FC-D1CB2A848CB0}">
  <sheetPr codeName="Sheet3">
    <tabColor rgb="FFFF0000"/>
  </sheetPr>
  <dimension ref="B1:N27"/>
  <sheetViews>
    <sheetView showGridLines="0" rightToLeft="1" workbookViewId="0">
      <pane ySplit="5" topLeftCell="A6" activePane="bottomLeft" state="frozen"/>
      <selection pane="bottomLeft" activeCell="C6" sqref="C6"/>
    </sheetView>
  </sheetViews>
  <sheetFormatPr defaultColWidth="9" defaultRowHeight="22.5" customHeight="1" x14ac:dyDescent="0.25"/>
  <cols>
    <col min="1" max="1" width="1.7109375" style="1" customWidth="1"/>
    <col min="2" max="2" width="8.7109375" style="32" customWidth="1"/>
    <col min="3" max="3" width="25.7109375" style="33" customWidth="1"/>
    <col min="4" max="4" width="20.7109375" style="1" customWidth="1"/>
    <col min="5" max="5" width="20.7109375" style="32" customWidth="1"/>
    <col min="6" max="6" width="50.7109375" style="1" customWidth="1"/>
    <col min="7" max="7" width="1.7109375" style="1" customWidth="1"/>
    <col min="8" max="9" width="10.7109375" style="1" customWidth="1"/>
    <col min="10" max="11" width="13.7109375" style="1" customWidth="1"/>
    <col min="12" max="12" width="7.7109375" style="1" customWidth="1"/>
    <col min="13" max="13" width="9" style="1"/>
    <col min="14" max="14" width="17.140625" style="1" bestFit="1" customWidth="1"/>
    <col min="15" max="16384" width="9" style="1"/>
  </cols>
  <sheetData>
    <row r="1" spans="2:14" ht="7.5" customHeight="1" thickBot="1" x14ac:dyDescent="0.3"/>
    <row r="2" spans="2:14" ht="31.5" customHeight="1" thickTop="1" thickBot="1" x14ac:dyDescent="0.3">
      <c r="B2" s="278" t="s">
        <v>160</v>
      </c>
      <c r="C2" s="279"/>
      <c r="D2" s="279"/>
      <c r="E2" s="279"/>
      <c r="F2" s="279"/>
      <c r="G2" s="279"/>
      <c r="H2" s="279"/>
      <c r="I2" s="279"/>
      <c r="J2" s="279"/>
      <c r="K2" s="279"/>
      <c r="L2" s="280"/>
    </row>
    <row r="3" spans="2:14" ht="12.75" customHeight="1" thickTop="1" thickBot="1" x14ac:dyDescent="0.3"/>
    <row r="4" spans="2:14" ht="22.5" customHeight="1" thickTop="1" x14ac:dyDescent="0.25">
      <c r="B4" s="253" t="s">
        <v>56</v>
      </c>
      <c r="C4" s="255" t="s">
        <v>57</v>
      </c>
      <c r="D4" s="257" t="s">
        <v>103</v>
      </c>
      <c r="E4" s="259" t="s">
        <v>61</v>
      </c>
      <c r="F4" s="261" t="s">
        <v>58</v>
      </c>
      <c r="H4" s="263" t="s">
        <v>62</v>
      </c>
      <c r="I4" s="264"/>
      <c r="J4" s="267">
        <f>SUM(E6:E25)</f>
        <v>0</v>
      </c>
      <c r="K4" s="267"/>
      <c r="L4" s="269" t="s">
        <v>54</v>
      </c>
    </row>
    <row r="5" spans="2:14" ht="22.5" customHeight="1" thickBot="1" x14ac:dyDescent="0.3">
      <c r="B5" s="254"/>
      <c r="C5" s="256"/>
      <c r="D5" s="258"/>
      <c r="E5" s="260"/>
      <c r="F5" s="262"/>
      <c r="H5" s="265"/>
      <c r="I5" s="266"/>
      <c r="J5" s="268"/>
      <c r="K5" s="268"/>
      <c r="L5" s="270"/>
    </row>
    <row r="6" spans="2:14" ht="22.5" customHeight="1" thickTop="1" thickBot="1" x14ac:dyDescent="0.3">
      <c r="B6" s="38">
        <f>ROW()-5</f>
        <v>1</v>
      </c>
      <c r="C6" s="79"/>
      <c r="D6" s="138"/>
      <c r="E6" s="80"/>
      <c r="F6" s="134" t="s">
        <v>46</v>
      </c>
      <c r="H6" s="34"/>
      <c r="I6" s="34"/>
      <c r="J6" s="35"/>
      <c r="K6" s="35"/>
      <c r="L6" s="36"/>
      <c r="N6" s="46"/>
    </row>
    <row r="7" spans="2:14" ht="22.5" customHeight="1" thickTop="1" x14ac:dyDescent="0.25">
      <c r="B7" s="38">
        <f t="shared" ref="B7:B24" si="0">ROW()-5</f>
        <v>2</v>
      </c>
      <c r="C7" s="81"/>
      <c r="D7" s="138"/>
      <c r="E7" s="82"/>
      <c r="F7" s="134" t="s">
        <v>46</v>
      </c>
      <c r="H7" s="274" t="s">
        <v>102</v>
      </c>
      <c r="I7" s="275"/>
      <c r="J7" s="275"/>
      <c r="K7" s="243" t="s">
        <v>100</v>
      </c>
      <c r="L7" s="244"/>
      <c r="N7" s="46"/>
    </row>
    <row r="8" spans="2:14" ht="22.5" customHeight="1" thickBot="1" x14ac:dyDescent="0.3">
      <c r="B8" s="38">
        <f t="shared" si="0"/>
        <v>3</v>
      </c>
      <c r="C8" s="81"/>
      <c r="D8" s="138"/>
      <c r="E8" s="82"/>
      <c r="F8" s="134" t="s">
        <v>46</v>
      </c>
      <c r="H8" s="276"/>
      <c r="I8" s="277"/>
      <c r="J8" s="277"/>
      <c r="K8" s="245"/>
      <c r="L8" s="246"/>
      <c r="N8" s="46"/>
    </row>
    <row r="9" spans="2:14" ht="22.5" customHeight="1" thickTop="1" thickBot="1" x14ac:dyDescent="0.3">
      <c r="B9" s="38">
        <f t="shared" si="0"/>
        <v>4</v>
      </c>
      <c r="C9" s="81"/>
      <c r="D9" s="138"/>
      <c r="E9" s="82"/>
      <c r="F9" s="134" t="s">
        <v>46</v>
      </c>
      <c r="H9" s="37" t="s">
        <v>52</v>
      </c>
      <c r="I9" s="271"/>
      <c r="J9" s="271"/>
      <c r="K9" s="272">
        <f>IF(K7="",0,IF(K7="کلیه‌ی هزینه‌ها",SUMIFS(E:E,C:C,"&gt;="&amp;I9,C:C,"&lt;="&amp;I10),SUMIFS(E:E,D:D,K7,C:C,"&gt;="&amp;I9,C:C,"&lt;="&amp;I10)))</f>
        <v>0</v>
      </c>
      <c r="L9" s="272"/>
      <c r="N9" s="46"/>
    </row>
    <row r="10" spans="2:14" ht="22.5" customHeight="1" thickTop="1" thickBot="1" x14ac:dyDescent="0.3">
      <c r="B10" s="38">
        <f t="shared" si="0"/>
        <v>5</v>
      </c>
      <c r="C10" s="81"/>
      <c r="D10" s="138"/>
      <c r="E10" s="82"/>
      <c r="F10" s="134" t="s">
        <v>46</v>
      </c>
      <c r="H10" s="37" t="s">
        <v>53</v>
      </c>
      <c r="I10" s="271"/>
      <c r="J10" s="271"/>
      <c r="K10" s="273" t="s">
        <v>55</v>
      </c>
      <c r="L10" s="273"/>
      <c r="N10" s="46"/>
    </row>
    <row r="11" spans="2:14" ht="22.5" customHeight="1" thickTop="1" x14ac:dyDescent="0.25">
      <c r="B11" s="38">
        <f t="shared" si="0"/>
        <v>6</v>
      </c>
      <c r="C11" s="81"/>
      <c r="D11" s="138"/>
      <c r="E11" s="82"/>
      <c r="F11" s="134" t="s">
        <v>46</v>
      </c>
      <c r="J11" s="42"/>
      <c r="N11" s="46"/>
    </row>
    <row r="12" spans="2:14" ht="22.5" customHeight="1" x14ac:dyDescent="0.25">
      <c r="B12" s="38">
        <f t="shared" si="0"/>
        <v>7</v>
      </c>
      <c r="C12" s="81"/>
      <c r="D12" s="138"/>
      <c r="E12" s="82"/>
      <c r="F12" s="134" t="s">
        <v>46</v>
      </c>
      <c r="I12" s="48"/>
      <c r="J12" s="42"/>
      <c r="K12" s="47"/>
      <c r="N12" s="46"/>
    </row>
    <row r="13" spans="2:14" ht="22.5" customHeight="1" x14ac:dyDescent="0.25">
      <c r="B13" s="38">
        <f t="shared" si="0"/>
        <v>8</v>
      </c>
      <c r="C13" s="81"/>
      <c r="D13" s="138"/>
      <c r="E13" s="82"/>
      <c r="F13" s="134" t="s">
        <v>46</v>
      </c>
      <c r="N13" s="46"/>
    </row>
    <row r="14" spans="2:14" ht="22.5" customHeight="1" x14ac:dyDescent="0.25">
      <c r="B14" s="38">
        <f t="shared" si="0"/>
        <v>9</v>
      </c>
      <c r="C14" s="81"/>
      <c r="D14" s="138"/>
      <c r="E14" s="82"/>
      <c r="F14" s="134" t="s">
        <v>46</v>
      </c>
      <c r="I14" s="49"/>
      <c r="K14" s="45"/>
      <c r="N14" s="46"/>
    </row>
    <row r="15" spans="2:14" ht="22.5" customHeight="1" x14ac:dyDescent="0.25">
      <c r="B15" s="38">
        <f t="shared" si="0"/>
        <v>10</v>
      </c>
      <c r="C15" s="81"/>
      <c r="D15" s="138"/>
      <c r="E15" s="82"/>
      <c r="F15" s="134" t="s">
        <v>46</v>
      </c>
      <c r="N15" s="46"/>
    </row>
    <row r="16" spans="2:14" ht="22.5" customHeight="1" x14ac:dyDescent="0.25">
      <c r="B16" s="38">
        <f t="shared" si="0"/>
        <v>11</v>
      </c>
      <c r="C16" s="81"/>
      <c r="D16" s="138"/>
      <c r="E16" s="82"/>
      <c r="F16" s="134" t="s">
        <v>46</v>
      </c>
      <c r="N16" s="46"/>
    </row>
    <row r="17" spans="2:14" ht="22.5" customHeight="1" x14ac:dyDescent="0.25">
      <c r="B17" s="38">
        <f t="shared" si="0"/>
        <v>12</v>
      </c>
      <c r="C17" s="81"/>
      <c r="D17" s="138"/>
      <c r="E17" s="82"/>
      <c r="F17" s="134" t="s">
        <v>46</v>
      </c>
      <c r="N17" s="45"/>
    </row>
    <row r="18" spans="2:14" ht="22.5" customHeight="1" x14ac:dyDescent="0.25">
      <c r="B18" s="38">
        <f t="shared" si="0"/>
        <v>13</v>
      </c>
      <c r="C18" s="81"/>
      <c r="D18" s="138"/>
      <c r="E18" s="82"/>
      <c r="F18" s="134" t="s">
        <v>46</v>
      </c>
      <c r="N18" s="45"/>
    </row>
    <row r="19" spans="2:14" ht="22.5" customHeight="1" x14ac:dyDescent="0.25">
      <c r="B19" s="38">
        <f t="shared" si="0"/>
        <v>14</v>
      </c>
      <c r="C19" s="81"/>
      <c r="D19" s="138"/>
      <c r="E19" s="82"/>
      <c r="F19" s="134" t="s">
        <v>46</v>
      </c>
    </row>
    <row r="20" spans="2:14" ht="22.5" customHeight="1" x14ac:dyDescent="0.25">
      <c r="B20" s="38">
        <f t="shared" si="0"/>
        <v>15</v>
      </c>
      <c r="C20" s="81"/>
      <c r="D20" s="138"/>
      <c r="E20" s="82"/>
      <c r="F20" s="134" t="s">
        <v>46</v>
      </c>
    </row>
    <row r="21" spans="2:14" ht="22.5" customHeight="1" x14ac:dyDescent="0.25">
      <c r="B21" s="38">
        <f t="shared" si="0"/>
        <v>16</v>
      </c>
      <c r="C21" s="81"/>
      <c r="D21" s="138"/>
      <c r="E21" s="82"/>
      <c r="F21" s="134" t="s">
        <v>46</v>
      </c>
    </row>
    <row r="22" spans="2:14" ht="22.5" customHeight="1" x14ac:dyDescent="0.25">
      <c r="B22" s="38">
        <f t="shared" si="0"/>
        <v>17</v>
      </c>
      <c r="C22" s="81"/>
      <c r="D22" s="138"/>
      <c r="E22" s="82"/>
      <c r="F22" s="134" t="s">
        <v>46</v>
      </c>
    </row>
    <row r="23" spans="2:14" ht="22.5" customHeight="1" x14ac:dyDescent="0.25">
      <c r="B23" s="38">
        <f t="shared" si="0"/>
        <v>18</v>
      </c>
      <c r="C23" s="81"/>
      <c r="D23" s="138"/>
      <c r="E23" s="82"/>
      <c r="F23" s="134" t="s">
        <v>46</v>
      </c>
    </row>
    <row r="24" spans="2:14" ht="22.5" customHeight="1" x14ac:dyDescent="0.25">
      <c r="B24" s="38">
        <f t="shared" si="0"/>
        <v>19</v>
      </c>
      <c r="C24" s="81"/>
      <c r="D24" s="138"/>
      <c r="E24" s="82"/>
      <c r="F24" s="134" t="s">
        <v>46</v>
      </c>
    </row>
    <row r="25" spans="2:14" ht="22.5" customHeight="1" thickBot="1" x14ac:dyDescent="0.3">
      <c r="B25" s="38">
        <f t="shared" ref="B25" si="1">ROW()-5</f>
        <v>20</v>
      </c>
      <c r="C25" s="81"/>
      <c r="D25" s="138"/>
      <c r="E25" s="83"/>
      <c r="F25" s="134" t="s">
        <v>46</v>
      </c>
    </row>
    <row r="26" spans="2:14" ht="39.75" customHeight="1" thickTop="1" thickBot="1" x14ac:dyDescent="0.3">
      <c r="B26" s="247" t="s">
        <v>59</v>
      </c>
      <c r="C26" s="248"/>
      <c r="D26" s="249"/>
      <c r="E26" s="40">
        <f>SUM(E6:E25)</f>
        <v>0</v>
      </c>
      <c r="F26" s="39" t="s">
        <v>60</v>
      </c>
    </row>
    <row r="27" spans="2:14" ht="22.5" customHeight="1" thickTop="1" x14ac:dyDescent="0.25"/>
  </sheetData>
  <sheetProtection algorithmName="SHA-512" hashValue="W03hhCWFDsxNhWzioaOSYZpUvkm51sj8hYIxoJN1OV7i9oYKzfFZhUjA3/a/0c0Kp8n7PgFDMI599j1XLo+bCw==" saltValue="7+bP0fW9rYT8U+C23MtnVg==" spinCount="100000" sheet="1" objects="1" scenarios="1" selectLockedCells="1"/>
  <mergeCells count="16">
    <mergeCell ref="K7:L8"/>
    <mergeCell ref="F4:F5"/>
    <mergeCell ref="B2:L2"/>
    <mergeCell ref="B26:D26"/>
    <mergeCell ref="B4:B5"/>
    <mergeCell ref="C4:C5"/>
    <mergeCell ref="D4:D5"/>
    <mergeCell ref="E4:E5"/>
    <mergeCell ref="L4:L5"/>
    <mergeCell ref="I9:J9"/>
    <mergeCell ref="I10:J10"/>
    <mergeCell ref="K10:L10"/>
    <mergeCell ref="K9:L9"/>
    <mergeCell ref="H4:I5"/>
    <mergeCell ref="J4:K5"/>
    <mergeCell ref="H7:J8"/>
  </mergeCells>
  <conditionalFormatting sqref="E6:E25">
    <cfRule type="dataBar" priority="54">
      <dataBar>
        <cfvo type="min"/>
        <cfvo type="max"/>
        <color rgb="FFFF0000"/>
      </dataBar>
      <extLst>
        <ext xmlns:x14="http://schemas.microsoft.com/office/spreadsheetml/2009/9/main" uri="{B025F937-C7B1-47D3-B67F-A62EFF666E3E}">
          <x14:id>{3FFCE752-65BD-482A-9F9A-4E529FA54D77}</x14:id>
        </ext>
      </extLst>
    </cfRule>
  </conditionalFormatting>
  <dataValidations count="5">
    <dataValidation operator="greaterThan" allowBlank="1" showInputMessage="1" showErrorMessage="1" sqref="C6" xr:uid="{2FFBEAB0-EAB8-4771-B967-D9A0A0BF66BA}"/>
    <dataValidation type="date" operator="greaterThanOrEqual" showInputMessage="1" showErrorMessage="1" errorTitle="خطا در درج تاریخ!" error="تاریخ مد نظر، نباید کمتر از تاریخ درج شده‌ی قبلی باشد!" sqref="I10:J10" xr:uid="{B0D78655-6DA6-420B-8B58-4A9AB0E15A51}">
      <formula1>I9</formula1>
    </dataValidation>
    <dataValidation type="date" operator="greaterThanOrEqual" showErrorMessage="1" errorTitle="خطا در درج تاریخ!" error="تاریخ مد نظر، نباید کمتر از تاریخ درج شده‌ی قبلی باشد!" sqref="C7:C24" xr:uid="{0E4238FD-F08B-4F4E-920F-6C52DB283010}">
      <formula1>C6</formula1>
    </dataValidation>
    <dataValidation type="date" operator="greaterThanOrEqual" showErrorMessage="1" errorTitle="خطا در درج تاریخ!" error="تاریخ مد نظر، نباید کمتر از تاریخ درج شده‌ی قبلی باشد!" sqref="C25" xr:uid="{B7475132-AB60-4862-97DE-03A78078CDE3}">
      <formula1>#REF!</formula1>
    </dataValidation>
    <dataValidation type="whole" operator="greaterThanOrEqual" showInputMessage="1" showErrorMessage="1" errorTitle="خطا در ورود اطلاعات!" error="مبلغ مندرج باید عددی غیر اعشاری و نامنفی باشد." sqref="E6:E25" xr:uid="{F3A772F5-0ABB-4C3E-98C9-F577979885AF}">
      <formula1>0</formula1>
    </dataValidation>
  </dataValidations>
  <pageMargins left="0.7" right="0.7" top="0.75" bottom="0.75" header="0.3" footer="0.3"/>
  <pageSetup orientation="portrait" copies="0" r:id="rId1"/>
  <legacyDrawing r:id="rId2"/>
  <extLst>
    <ext xmlns:x14="http://schemas.microsoft.com/office/spreadsheetml/2009/9/main" uri="{78C0D931-6437-407d-A8EE-F0AAD7539E65}">
      <x14:conditionalFormattings>
        <x14:conditionalFormatting xmlns:xm="http://schemas.microsoft.com/office/excel/2006/main">
          <x14:cfRule type="dataBar" id="{3FFCE752-65BD-482A-9F9A-4E529FA54D77}">
            <x14:dataBar minLength="0" maxLength="100" gradient="0">
              <x14:cfvo type="autoMin"/>
              <x14:cfvo type="autoMax"/>
              <x14:negativeFillColor rgb="FFFF0000"/>
              <x14:axisColor rgb="FF000000"/>
            </x14:dataBar>
          </x14:cfRule>
          <xm:sqref>E6:E25</xm:sqref>
        </x14:conditionalFormatting>
      </x14:conditionalFormattings>
    </ext>
    <ext xmlns:x14="http://schemas.microsoft.com/office/spreadsheetml/2009/9/main" uri="{CCE6A557-97BC-4b89-ADB6-D9C93CAAB3DF}">
      <x14:dataValidations xmlns:xm="http://schemas.microsoft.com/office/excel/2006/main" count="2">
        <x14:dataValidation type="list" showInputMessage="1" showErrorMessage="1" errorTitle="خطا در ورود اطلاعات!" error="لطفاً یکی از گزینه‌های لیست شده را انتخاب نمایید." xr:uid="{350CB872-2037-4A20-9AF2-DDED70CC2729}">
          <x14:formula1>
            <xm:f>پارامترها!$F$2:$F$10</xm:f>
          </x14:formula1>
          <xm:sqref>K7:L8</xm:sqref>
        </x14:dataValidation>
        <x14:dataValidation type="list" showInputMessage="1" showErrorMessage="1" errorTitle="خطا در ورود اطلاعات!" error="لطفاً یکی از گزینه‌های لیست شده را انتخاب نمایید." xr:uid="{40386744-08C2-40CC-A44E-5454F8194FEC}">
          <x14:formula1>
            <xm:f>پارامترها!$F$2:$F$9</xm:f>
          </x14:formula1>
          <xm:sqref>D6:D25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F8A92-E131-4DE8-A966-0CA29F787CC5}">
  <sheetPr codeName="Sheet4">
    <tabColor rgb="FF00B0F0"/>
  </sheetPr>
  <dimension ref="B1:R22"/>
  <sheetViews>
    <sheetView showGridLines="0" rightToLeft="1" workbookViewId="0">
      <selection activeCell="B6" sqref="B6:D6"/>
    </sheetView>
  </sheetViews>
  <sheetFormatPr defaultColWidth="9" defaultRowHeight="22.5" x14ac:dyDescent="0.25"/>
  <cols>
    <col min="1" max="1" width="1.140625" style="23" customWidth="1"/>
    <col min="2" max="2" width="5.7109375" style="23" customWidth="1"/>
    <col min="3" max="3" width="6.28515625" style="23" customWidth="1"/>
    <col min="4" max="4" width="5.7109375" style="23" customWidth="1"/>
    <col min="5" max="5" width="17.7109375" style="23" customWidth="1"/>
    <col min="6" max="6" width="5.7109375" style="23" customWidth="1"/>
    <col min="7" max="9" width="12.7109375" style="23" customWidth="1"/>
    <col min="10" max="10" width="14.7109375" style="23" customWidth="1"/>
    <col min="11" max="12" width="15.7109375" style="23" customWidth="1"/>
    <col min="13" max="13" width="14.7109375" style="23" customWidth="1"/>
    <col min="14" max="14" width="15.7109375" style="23" customWidth="1"/>
    <col min="15" max="15" width="14.7109375" style="23" customWidth="1"/>
    <col min="16" max="16" width="15.7109375" style="23" customWidth="1"/>
    <col min="17" max="17" width="9" style="23"/>
    <col min="18" max="18" width="9.140625" style="23" bestFit="1" customWidth="1"/>
    <col min="19" max="19" width="9" style="23"/>
    <col min="20" max="20" width="9.85546875" style="23" bestFit="1" customWidth="1"/>
    <col min="21" max="22" width="9" style="23"/>
    <col min="23" max="23" width="9.5703125" style="23" customWidth="1"/>
    <col min="24" max="16384" width="9" style="23"/>
  </cols>
  <sheetData>
    <row r="1" spans="2:18" ht="7.5" customHeight="1" thickBot="1" x14ac:dyDescent="0.3"/>
    <row r="2" spans="2:18" ht="33.75" thickTop="1" thickBot="1" x14ac:dyDescent="0.3">
      <c r="B2" s="293" t="s">
        <v>159</v>
      </c>
      <c r="C2" s="294"/>
      <c r="D2" s="294"/>
      <c r="E2" s="294"/>
      <c r="F2" s="294"/>
      <c r="G2" s="294"/>
      <c r="H2" s="294"/>
      <c r="I2" s="294"/>
      <c r="J2" s="294"/>
      <c r="K2" s="294"/>
      <c r="L2" s="294"/>
      <c r="M2" s="294"/>
      <c r="N2" s="294"/>
      <c r="O2" s="294"/>
      <c r="P2" s="295"/>
    </row>
    <row r="3" spans="2:18" s="150" customFormat="1" ht="12.75" customHeight="1" thickTop="1" thickBot="1" x14ac:dyDescent="0.3">
      <c r="B3" s="197"/>
      <c r="C3" s="197"/>
      <c r="D3" s="197"/>
      <c r="E3" s="197"/>
      <c r="F3" s="197"/>
      <c r="G3" s="197"/>
      <c r="H3" s="197"/>
      <c r="I3" s="197"/>
      <c r="J3" s="197"/>
      <c r="K3" s="197"/>
      <c r="L3" s="197"/>
      <c r="M3" s="197"/>
      <c r="N3" s="197"/>
      <c r="O3" s="197"/>
      <c r="P3" s="197"/>
    </row>
    <row r="4" spans="2:18" ht="24" customHeight="1" thickTop="1" thickBot="1" x14ac:dyDescent="0.3">
      <c r="B4" s="302" t="s">
        <v>24</v>
      </c>
      <c r="C4" s="303"/>
      <c r="D4" s="303"/>
      <c r="E4" s="301"/>
      <c r="F4" s="298" t="s">
        <v>25</v>
      </c>
      <c r="G4" s="300" t="s">
        <v>164</v>
      </c>
      <c r="H4" s="301"/>
      <c r="I4" s="298" t="s">
        <v>136</v>
      </c>
      <c r="J4" s="299" t="s">
        <v>28</v>
      </c>
      <c r="K4" s="299"/>
      <c r="L4" s="299"/>
      <c r="M4" s="299"/>
      <c r="N4" s="299"/>
      <c r="O4" s="296" t="s">
        <v>51</v>
      </c>
      <c r="P4" s="297"/>
    </row>
    <row r="5" spans="2:18" ht="24" thickTop="1" thickBot="1" x14ac:dyDescent="0.3">
      <c r="B5" s="304" t="s">
        <v>29</v>
      </c>
      <c r="C5" s="305"/>
      <c r="D5" s="306"/>
      <c r="E5" s="24" t="s">
        <v>30</v>
      </c>
      <c r="F5" s="298"/>
      <c r="G5" s="24" t="s">
        <v>29</v>
      </c>
      <c r="H5" s="24" t="s">
        <v>30</v>
      </c>
      <c r="I5" s="298"/>
      <c r="J5" s="25" t="s">
        <v>31</v>
      </c>
      <c r="K5" s="25" t="s">
        <v>26</v>
      </c>
      <c r="L5" s="25" t="s">
        <v>32</v>
      </c>
      <c r="M5" s="25" t="s">
        <v>33</v>
      </c>
      <c r="N5" s="25" t="s">
        <v>34</v>
      </c>
      <c r="O5" s="296"/>
      <c r="P5" s="297"/>
    </row>
    <row r="6" spans="2:18" ht="24" thickTop="1" thickBot="1" x14ac:dyDescent="0.3">
      <c r="B6" s="313" t="s">
        <v>46</v>
      </c>
      <c r="C6" s="314"/>
      <c r="D6" s="315"/>
      <c r="E6" s="44" t="s">
        <v>46</v>
      </c>
      <c r="F6" s="161" t="str">
        <f>IF(ISERROR(_xlfn.DAYS(E6,B6)),"-",_xlfn.DAYS(E6,B6))</f>
        <v>-</v>
      </c>
      <c r="G6" s="16">
        <v>0</v>
      </c>
      <c r="H6" s="16">
        <v>0</v>
      </c>
      <c r="I6" s="161">
        <f>H6-G6</f>
        <v>0</v>
      </c>
      <c r="J6" s="16">
        <v>0</v>
      </c>
      <c r="K6" s="16">
        <v>0</v>
      </c>
      <c r="L6" s="16">
        <v>0</v>
      </c>
      <c r="M6" s="16">
        <v>0</v>
      </c>
      <c r="N6" s="16">
        <v>0</v>
      </c>
      <c r="O6" s="311">
        <f>J6+K6+L6+M6-N6</f>
        <v>0</v>
      </c>
      <c r="P6" s="312"/>
    </row>
    <row r="7" spans="2:18" ht="9.9499999999999993" customHeight="1" thickTop="1" thickBot="1" x14ac:dyDescent="0.3">
      <c r="B7" s="43"/>
      <c r="C7" s="43"/>
      <c r="F7" s="155"/>
      <c r="G7" s="155"/>
      <c r="H7" s="156"/>
      <c r="L7" s="155"/>
    </row>
    <row r="8" spans="2:18" ht="24.95" customHeight="1" thickTop="1" thickBot="1" x14ac:dyDescent="0.3">
      <c r="B8" s="281" t="s">
        <v>140</v>
      </c>
      <c r="C8" s="282"/>
      <c r="D8" s="282"/>
      <c r="E8" s="282"/>
      <c r="F8" s="283">
        <v>25</v>
      </c>
      <c r="G8" s="284"/>
      <c r="H8" s="157"/>
      <c r="I8" s="281" t="s">
        <v>141</v>
      </c>
      <c r="J8" s="282"/>
      <c r="K8" s="168">
        <v>13071</v>
      </c>
      <c r="L8" s="158"/>
      <c r="M8" s="285" t="s">
        <v>143</v>
      </c>
      <c r="N8" s="286"/>
      <c r="O8" s="286"/>
      <c r="P8" s="168">
        <v>10000</v>
      </c>
    </row>
    <row r="9" spans="2:18" ht="24.95" customHeight="1" thickTop="1" thickBot="1" x14ac:dyDescent="0.3">
      <c r="B9" s="281" t="s">
        <v>139</v>
      </c>
      <c r="C9" s="282"/>
      <c r="D9" s="282"/>
      <c r="E9" s="282"/>
      <c r="F9" s="283">
        <v>5</v>
      </c>
      <c r="G9" s="284"/>
      <c r="H9" s="157"/>
      <c r="I9" s="281" t="s">
        <v>142</v>
      </c>
      <c r="J9" s="282"/>
      <c r="K9" s="168">
        <v>133255</v>
      </c>
      <c r="L9" s="158"/>
      <c r="M9" s="285" t="s">
        <v>144</v>
      </c>
      <c r="N9" s="286"/>
      <c r="O9" s="286"/>
      <c r="P9" s="168">
        <v>10000</v>
      </c>
    </row>
    <row r="10" spans="2:18" ht="9.9499999999999993" customHeight="1" thickTop="1" thickBot="1" x14ac:dyDescent="0.3">
      <c r="B10" s="43"/>
      <c r="C10" s="43"/>
      <c r="F10" s="155"/>
      <c r="G10" s="155"/>
      <c r="H10" s="156"/>
      <c r="L10" s="155"/>
    </row>
    <row r="11" spans="2:18" ht="23.25" customHeight="1" thickTop="1" x14ac:dyDescent="0.25">
      <c r="B11" s="289" t="s">
        <v>137</v>
      </c>
      <c r="C11" s="343"/>
      <c r="D11" s="343"/>
      <c r="E11" s="287">
        <f>COUNTIF('مشخصات واحدها'!$F$2:$F$6,"ندارد")</f>
        <v>5</v>
      </c>
      <c r="F11" s="307" t="s">
        <v>43</v>
      </c>
      <c r="G11" s="308"/>
      <c r="H11" s="287">
        <f>COUNTIFS('مشخصات واحدها'!$F$2:$F$6,"دارد",'مشخصات واحدها'!$E$2:$E$6,"خالی")</f>
        <v>0</v>
      </c>
      <c r="I11" s="307" t="s">
        <v>44</v>
      </c>
      <c r="J11" s="308"/>
      <c r="K11" s="287">
        <f>COUNTIFS('مشخصات واحدها'!$F$2:$F$6,"دارد",'مشخصات واحدها'!$E$2:$E$6,"&lt;&gt;"&amp;"خالی",'مشخصات واحدها'!$G$2:$G$6,"ندارد")</f>
        <v>0</v>
      </c>
      <c r="L11" s="289" t="s">
        <v>145</v>
      </c>
      <c r="M11" s="290"/>
      <c r="N11" s="287">
        <f>COUNTIFS('مشخصات واحدها'!$F$2:$F$6,"دارد",'مشخصات واحدها'!$E$2:$E$6,"&lt;&gt;"&amp;"خالی",'مشخصات واحدها'!$G$2:$G$6,"دارد")</f>
        <v>0</v>
      </c>
      <c r="O11" s="322" t="s">
        <v>41</v>
      </c>
      <c r="P11" s="318">
        <f>E11+H11+K11+N11</f>
        <v>5</v>
      </c>
    </row>
    <row r="12" spans="2:18" ht="23.25" thickBot="1" x14ac:dyDescent="0.3">
      <c r="B12" s="344" t="s">
        <v>138</v>
      </c>
      <c r="C12" s="345"/>
      <c r="D12" s="345"/>
      <c r="E12" s="288"/>
      <c r="F12" s="309"/>
      <c r="G12" s="310"/>
      <c r="H12" s="288"/>
      <c r="I12" s="309"/>
      <c r="J12" s="310"/>
      <c r="K12" s="288"/>
      <c r="L12" s="291" t="s">
        <v>146</v>
      </c>
      <c r="M12" s="292"/>
      <c r="N12" s="288"/>
      <c r="O12" s="323"/>
      <c r="P12" s="319"/>
    </row>
    <row r="13" spans="2:18" ht="24" thickTop="1" thickBot="1" x14ac:dyDescent="0.3">
      <c r="E13" s="139"/>
      <c r="F13" s="348"/>
      <c r="G13" s="348"/>
      <c r="H13" s="139"/>
      <c r="K13" s="139"/>
      <c r="L13" s="171"/>
      <c r="M13" s="171"/>
      <c r="R13" s="150"/>
    </row>
    <row r="14" spans="2:18" ht="24" customHeight="1" thickTop="1" thickBot="1" x14ac:dyDescent="0.3">
      <c r="B14" s="331" t="s">
        <v>0</v>
      </c>
      <c r="C14" s="333" t="s">
        <v>1</v>
      </c>
      <c r="D14" s="333" t="s">
        <v>2</v>
      </c>
      <c r="E14" s="320" t="s">
        <v>115</v>
      </c>
      <c r="F14" s="335" t="s">
        <v>135</v>
      </c>
      <c r="G14" s="336"/>
      <c r="H14" s="326" t="s">
        <v>27</v>
      </c>
      <c r="I14" s="327"/>
      <c r="J14" s="324" t="s">
        <v>134</v>
      </c>
      <c r="K14" s="169" t="s">
        <v>172</v>
      </c>
      <c r="L14" s="320" t="s">
        <v>38</v>
      </c>
      <c r="M14" s="320" t="s">
        <v>39</v>
      </c>
      <c r="N14" s="320" t="s">
        <v>163</v>
      </c>
      <c r="O14" s="320" t="s">
        <v>37</v>
      </c>
      <c r="P14" s="316" t="s">
        <v>40</v>
      </c>
      <c r="R14" s="151"/>
    </row>
    <row r="15" spans="2:18" ht="23.25" thickBot="1" x14ac:dyDescent="0.3">
      <c r="B15" s="332"/>
      <c r="C15" s="334"/>
      <c r="D15" s="334"/>
      <c r="E15" s="321"/>
      <c r="F15" s="337"/>
      <c r="G15" s="338"/>
      <c r="H15" s="26" t="s">
        <v>29</v>
      </c>
      <c r="I15" s="26" t="s">
        <v>30</v>
      </c>
      <c r="J15" s="325"/>
      <c r="K15" s="170" t="s">
        <v>162</v>
      </c>
      <c r="L15" s="321"/>
      <c r="M15" s="321"/>
      <c r="N15" s="321"/>
      <c r="O15" s="321"/>
      <c r="P15" s="317"/>
      <c r="R15" s="151"/>
    </row>
    <row r="16" spans="2:18" ht="23.25" thickTop="1" x14ac:dyDescent="0.25">
      <c r="B16" s="27">
        <f>ROW()-15</f>
        <v>1</v>
      </c>
      <c r="C16" s="152" t="str">
        <f>'مشخصات واحدها'!B2</f>
        <v>همکف</v>
      </c>
      <c r="D16" s="152">
        <f>'مشخصات واحدها'!C2</f>
        <v>1</v>
      </c>
      <c r="E16" s="159">
        <v>0</v>
      </c>
      <c r="F16" s="346">
        <v>1</v>
      </c>
      <c r="G16" s="347"/>
      <c r="H16" s="17">
        <v>0</v>
      </c>
      <c r="I16" s="17">
        <v>0</v>
      </c>
      <c r="J16" s="162">
        <f>(I16-H16)/F16</f>
        <v>0</v>
      </c>
      <c r="K16" s="28" t="str">
        <f>IF(ISERROR(($P$8+$P$9)*$F$6/30),"-",($P$8+$P$9)*$F$6/30)</f>
        <v>-</v>
      </c>
      <c r="L16" s="28" t="str">
        <f>IF(ISERROR(IF(E16="خالی",0,((($I$6*1000-$J$21)*($O$6-(($P$8+$P$9)*$F$6*$F$9/30)))/($I$6*1000))*((($F$6-E16)/($F$6*($P$11-COUNTIF($E$16:$E$20,"خالی"))))+(SUM($E$16:$E$20)/($F$6*($P$11-COUNTIF($E$16:$E$20,"خالی"))*($P$11-COUNTIF($E$16:$E$20,"خالی"))))))),"-",IF(E16="خالی",0,((($I$6*1000-$J$21)*($O$6-(($P$8+$P$9)*$F$6*$F$9/30)))/($I$6*1000))*((($F$6-E16)/($F$6*($P$11-COUNTIF($E$16:$E$20,"خالی"))))+(SUM($E$16:$E$20)/($F$6*($P$11-COUNTIF($E$16:$E$20,"خالی"))*($P$11-COUNTIF($E$16:$E$20,"خالی")))))))</f>
        <v>-</v>
      </c>
      <c r="M16" s="29" t="str">
        <f>IF(ISERROR(K16+L16),"-",K16+L16)</f>
        <v>-</v>
      </c>
      <c r="N16" s="28" t="str">
        <f>IF(ISERROR(IF($I$6&gt;$F$8*$F$6/30,IF(SUM($J$16,$J$20)=0,0,(IF(J16&gt;($F$8*$F$6*1000)/($F$9*30),(((J16-(($F$8*$F$6*1000)/($F$9*30)))*$K$9)+((($F$8*$F$6*1000)/($F$9*30))*$K$8)),J16*$K$8)*($J$21*($O$6-(($P$8+$P$9)*$F$6*$F$9/30))/($I$6*1000)))/(((SUMIF($J$16:$J$20,"&gt;"&amp;(($F$8*$F$6*1000)/($F$9*30)))-(COUNTIF($J$16:$J$20,"&gt;"&amp;(($F$8*$F$6*1000)/($F$9*30)))*(($F$8*$F$6*1000)/($F$9*30))))*$K$9)+((COUNTIF($J$16:$J$20,"&gt;"&amp;(($F$8*$F$6*1000)/($F$9*30)))*(($F$8*$F$6*1000)/($F$9*30)))*$K$8)+(SUMIF($J$16:$J$20,"&lt;="&amp;(($F$8*$F$6*1000)/($F$9*30)))*$K$8))),J16*($O$6-(($P$8+$P$9)*$F$6*$F$9/30))/($I$6*1000))),"-",IF($I$6&gt;$F$8*$F$6/30,IF(SUM($J$16,$J$20)=0,0,(IF(J16&gt;($F$8*$F$6*1000)/($F$9*30),(((J16-(($F$8*$F$6*1000)/($F$9*30)))*$K$9)+((($F$8*$F$6*1000)/($F$9*30))*$K$8)),J16*$K$8)*($J$21*($O$6-(($P$8+$P$9)*$F$6*$F$9/30))/($I$6*1000)))/(((SUMIF($J$16:$J$20,"&gt;"&amp;(($F$8*$F$6*1000)/($F$9*30)))-(COUNTIF($J$16:$J$20,"&gt;"&amp;(($F$8*$F$6*1000)/($F$9*30)))*(($F$8*$F$6*1000)/($F$9*30))))*$K$9)+((COUNTIF($J$16:$J$20,"&gt;"&amp;(($F$8*$F$6*1000)/($F$9*30)))*(($F$8*$F$6*1000)/($F$9*30)))*$K$8)+(SUMIF($J$16:$J$20,"&lt;="&amp;(($F$8*$F$6*1000)/($F$9*30)))*$K$8))),J16*($O$6-(($P$8+$P$9)*$F$6*$F$9/30))/($I$6*1000)))</f>
        <v>-</v>
      </c>
      <c r="O16" s="29" t="str">
        <f>IF(ISERROR(M16+N16),"-",M16+N16)</f>
        <v>-</v>
      </c>
      <c r="P16" s="140" t="str">
        <f>IF(ISERROR(ROUND(O16/1000,0)*1000),"-",ROUND(O16/1000,0)*1000)</f>
        <v>-</v>
      </c>
      <c r="R16" s="151"/>
    </row>
    <row r="17" spans="2:18" x14ac:dyDescent="0.25">
      <c r="B17" s="30">
        <f t="shared" ref="B17:B20" si="0">ROW()-15</f>
        <v>2</v>
      </c>
      <c r="C17" s="153" t="str">
        <f>'مشخصات واحدها'!B3</f>
        <v>اوّل</v>
      </c>
      <c r="D17" s="153">
        <f>'مشخصات واحدها'!C3</f>
        <v>12</v>
      </c>
      <c r="E17" s="160">
        <v>0</v>
      </c>
      <c r="F17" s="339">
        <v>1</v>
      </c>
      <c r="G17" s="340"/>
      <c r="H17" s="18">
        <v>0</v>
      </c>
      <c r="I17" s="18">
        <v>0</v>
      </c>
      <c r="J17" s="163">
        <f t="shared" ref="J17:J20" si="1">(I17-H17)/F17</f>
        <v>0</v>
      </c>
      <c r="K17" s="166" t="str">
        <f t="shared" ref="K17:K20" si="2">IF(ISERROR(($P$8+$P$9)*$F$6/30),"-",($P$8+$P$9)*$F$6/30)</f>
        <v>-</v>
      </c>
      <c r="L17" s="166" t="str">
        <f>IF(ISERROR(IF(E17="خالی",0,((($I$6*1000-$J$21)*($O$6-(($P$8+$P$9)*$F$6*$F$9/30)))/($I$6*1000))*((($F$6-E17)/($F$6*($P$11-COUNTIF($E$16:$E$20,"خالی"))))+(SUM($E$16:$E$20)/($F$6*($P$11-COUNTIF($E$16:$E$20,"خالی"))*($P$11-COUNTIF($E$16:$E$20,"خالی"))))))),"-",IF(E17="خالی",0,((($I$6*1000-$J$21)*($O$6-(($P$8+$P$9)*$F$6*$F$9/30)))/($I$6*1000))*((($F$6-E17)/($F$6*($P$11-COUNTIF($E$16:$E$20,"خالی"))))+(SUM($E$16:$E$20)/($F$6*($P$11-COUNTIF($E$16:$E$20,"خالی"))*($P$11-COUNTIF($E$16:$E$20,"خالی")))))))</f>
        <v>-</v>
      </c>
      <c r="M17" s="31" t="str">
        <f t="shared" ref="M17:M20" si="3">IF(ISERROR(K17+L17),"-",K17+L17)</f>
        <v>-</v>
      </c>
      <c r="N17" s="166" t="str">
        <f>IF(ISERROR(IF($I$6&gt;$F$8*$F$6/30,IF(SUM($J$16,$J$20)=0,0,(IF(J17&gt;($F$8*$F$6*1000)/($F$9*30),(((J17-(($F$8*$F$6*1000)/($F$9*30)))*$K$9)+((($F$8*$F$6*1000)/($F$9*30))*$K$8)),J17*$K$8)*($J$21*($O$6-(($P$8+$P$9)*$F$6*$F$9/30))/($I$6*1000)))/(((SUMIF($J$16:$J$20,"&gt;"&amp;(($F$8*$F$6*1000)/($F$9*30)))-(COUNTIF($J$16:$J$20,"&gt;"&amp;(($F$8*$F$6*1000)/($F$9*30)))*(($F$8*$F$6*1000)/($F$9*30))))*$K$9)+((COUNTIF($J$16:$J$20,"&gt;"&amp;(($F$8*$F$6*1000)/($F$9*30)))*(($F$8*$F$6*1000)/($F$9*30)))*$K$8)+(SUMIF($J$16:$J$20,"&lt;="&amp;(($F$8*$F$6*1000)/($F$9*30)))*$K$8))),J17*($O$6-(($P$8+$P$9)*$F$6*$F$9/30))/($I$6*1000))),"-",IF($I$6&gt;$F$8*$F$6/30,IF(SUM($J$16,$J$20)=0,0,(IF(J17&gt;($F$8*$F$6*1000)/($F$9*30),(((J17-(($F$8*$F$6*1000)/($F$9*30)))*$K$9)+((($F$8*$F$6*1000)/($F$9*30))*$K$8)),J17*$K$8)*($J$21*($O$6-(($P$8+$P$9)*$F$6*$F$9/30))/($I$6*1000)))/(((SUMIF($J$16:$J$20,"&gt;"&amp;(($F$8*$F$6*1000)/($F$9*30)))-(COUNTIF($J$16:$J$20,"&gt;"&amp;(($F$8*$F$6*1000)/($F$9*30)))*(($F$8*$F$6*1000)/($F$9*30))))*$K$9)+((COUNTIF($J$16:$J$20,"&gt;"&amp;(($F$8*$F$6*1000)/($F$9*30)))*(($F$8*$F$6*1000)/($F$9*30)))*$K$8)+(SUMIF($J$16:$J$20,"&lt;="&amp;(($F$8*$F$6*1000)/($F$9*30)))*$K$8))),J17*($O$6-(($P$8+$P$9)*$F$6*$F$9/30))/($I$6*1000)))</f>
        <v>-</v>
      </c>
      <c r="O17" s="31" t="str">
        <f t="shared" ref="O17:O20" si="4">IF(ISERROR(M17+N17),"-",M17+N17)</f>
        <v>-</v>
      </c>
      <c r="P17" s="141" t="str">
        <f t="shared" ref="P17:P20" si="5">IF(ISERROR(ROUND(O17/1000,0)*1000),"-",ROUND(O17/1000,0)*1000)</f>
        <v>-</v>
      </c>
      <c r="R17" s="151"/>
    </row>
    <row r="18" spans="2:18" x14ac:dyDescent="0.25">
      <c r="B18" s="30">
        <f t="shared" si="0"/>
        <v>3</v>
      </c>
      <c r="C18" s="153" t="str">
        <f>'مشخصات واحدها'!B4</f>
        <v>دوم</v>
      </c>
      <c r="D18" s="153">
        <f>'مشخصات واحدها'!C4</f>
        <v>23</v>
      </c>
      <c r="E18" s="160">
        <v>0</v>
      </c>
      <c r="F18" s="339">
        <v>1</v>
      </c>
      <c r="G18" s="340"/>
      <c r="H18" s="18">
        <v>0</v>
      </c>
      <c r="I18" s="18">
        <v>0</v>
      </c>
      <c r="J18" s="163">
        <f t="shared" si="1"/>
        <v>0</v>
      </c>
      <c r="K18" s="166" t="str">
        <f t="shared" si="2"/>
        <v>-</v>
      </c>
      <c r="L18" s="166" t="str">
        <f>IF(ISERROR(IF(E18="خالی",0,((($I$6*1000-$J$21)*($O$6-(($P$8+$P$9)*$F$6*$F$9/30)))/($I$6*1000))*((($F$6-E18)/($F$6*($P$11-COUNTIF($E$16:$E$20,"خالی"))))+(SUM($E$16:$E$20)/($F$6*($P$11-COUNTIF($E$16:$E$20,"خالی"))*($P$11-COUNTIF($E$16:$E$20,"خالی"))))))),"-",IF(E18="خالی",0,((($I$6*1000-$J$21)*($O$6-(($P$8+$P$9)*$F$6*$F$9/30)))/($I$6*1000))*((($F$6-E18)/($F$6*($P$11-COUNTIF($E$16:$E$20,"خالی"))))+(SUM($E$16:$E$20)/($F$6*($P$11-COUNTIF($E$16:$E$20,"خالی"))*($P$11-COUNTIF($E$16:$E$20,"خالی")))))))</f>
        <v>-</v>
      </c>
      <c r="M18" s="31" t="str">
        <f t="shared" si="3"/>
        <v>-</v>
      </c>
      <c r="N18" s="166" t="str">
        <f>IF(ISERROR(IF($I$6&gt;$F$8*$F$6/30,IF(SUM($J$16,$J$20)=0,0,(IF(J18&gt;($F$8*$F$6*1000)/($F$9*30),(((J18-(($F$8*$F$6*1000)/($F$9*30)))*$K$9)+((($F$8*$F$6*1000)/($F$9*30))*$K$8)),J18*$K$8)*($J$21*($O$6-(($P$8+$P$9)*$F$6*$F$9/30))/($I$6*1000)))/(((SUMIF($J$16:$J$20,"&gt;"&amp;(($F$8*$F$6*1000)/($F$9*30)))-(COUNTIF($J$16:$J$20,"&gt;"&amp;(($F$8*$F$6*1000)/($F$9*30)))*(($F$8*$F$6*1000)/($F$9*30))))*$K$9)+((COUNTIF($J$16:$J$20,"&gt;"&amp;(($F$8*$F$6*1000)/($F$9*30)))*(($F$8*$F$6*1000)/($F$9*30)))*$K$8)+(SUMIF($J$16:$J$20,"&lt;="&amp;(($F$8*$F$6*1000)/($F$9*30)))*$K$8))),J18*($O$6-(($P$8+$P$9)*$F$6*$F$9/30))/($I$6*1000))),"-",IF($I$6&gt;$F$8*$F$6/30,IF(SUM($J$16,$J$20)=0,0,(IF(J18&gt;($F$8*$F$6*1000)/($F$9*30),(((J18-(($F$8*$F$6*1000)/($F$9*30)))*$K$9)+((($F$8*$F$6*1000)/($F$9*30))*$K$8)),J18*$K$8)*($J$21*($O$6-(($P$8+$P$9)*$F$6*$F$9/30))/($I$6*1000)))/(((SUMIF($J$16:$J$20,"&gt;"&amp;(($F$8*$F$6*1000)/($F$9*30)))-(COUNTIF($J$16:$J$20,"&gt;"&amp;(($F$8*$F$6*1000)/($F$9*30)))*(($F$8*$F$6*1000)/($F$9*30))))*$K$9)+((COUNTIF($J$16:$J$20,"&gt;"&amp;(($F$8*$F$6*1000)/($F$9*30)))*(($F$8*$F$6*1000)/($F$9*30)))*$K$8)+(SUMIF($J$16:$J$20,"&lt;="&amp;(($F$8*$F$6*1000)/($F$9*30)))*$K$8))),J18*($O$6-(($P$8+$P$9)*$F$6*$F$9/30))/($I$6*1000)))</f>
        <v>-</v>
      </c>
      <c r="O18" s="31" t="str">
        <f t="shared" si="4"/>
        <v>-</v>
      </c>
      <c r="P18" s="141" t="str">
        <f t="shared" si="5"/>
        <v>-</v>
      </c>
      <c r="R18" s="151"/>
    </row>
    <row r="19" spans="2:18" x14ac:dyDescent="0.25">
      <c r="B19" s="30">
        <f t="shared" si="0"/>
        <v>4</v>
      </c>
      <c r="C19" s="153" t="str">
        <f>'مشخصات واحدها'!B5</f>
        <v>سوم</v>
      </c>
      <c r="D19" s="153">
        <f>'مشخصات واحدها'!C5</f>
        <v>34</v>
      </c>
      <c r="E19" s="160">
        <v>0</v>
      </c>
      <c r="F19" s="339">
        <v>1</v>
      </c>
      <c r="G19" s="340"/>
      <c r="H19" s="18">
        <v>0</v>
      </c>
      <c r="I19" s="18">
        <v>0</v>
      </c>
      <c r="J19" s="163">
        <f t="shared" si="1"/>
        <v>0</v>
      </c>
      <c r="K19" s="166" t="str">
        <f t="shared" si="2"/>
        <v>-</v>
      </c>
      <c r="L19" s="166" t="str">
        <f>IF(ISERROR(IF(E19="خالی",0,((($I$6*1000-$J$21)*($O$6-(($P$8+$P$9)*$F$6*$F$9/30)))/($I$6*1000))*((($F$6-E19)/($F$6*($P$11-COUNTIF($E$16:$E$20,"خالی"))))+(SUM($E$16:$E$20)/($F$6*($P$11-COUNTIF($E$16:$E$20,"خالی"))*($P$11-COUNTIF($E$16:$E$20,"خالی"))))))),"-",IF(E19="خالی",0,((($I$6*1000-$J$21)*($O$6-(($P$8+$P$9)*$F$6*$F$9/30)))/($I$6*1000))*((($F$6-E19)/($F$6*($P$11-COUNTIF($E$16:$E$20,"خالی"))))+(SUM($E$16:$E$20)/($F$6*($P$11-COUNTIF($E$16:$E$20,"خالی"))*($P$11-COUNTIF($E$16:$E$20,"خالی")))))))</f>
        <v>-</v>
      </c>
      <c r="M19" s="31" t="str">
        <f t="shared" si="3"/>
        <v>-</v>
      </c>
      <c r="N19" s="166" t="str">
        <f>IF(ISERROR(IF($I$6&gt;$F$8*$F$6/30,IF(SUM($J$16,$J$20)=0,0,(IF(J19&gt;($F$8*$F$6*1000)/($F$9*30),(((J19-(($F$8*$F$6*1000)/($F$9*30)))*$K$9)+((($F$8*$F$6*1000)/($F$9*30))*$K$8)),J19*$K$8)*($J$21*($O$6-(($P$8+$P$9)*$F$6*$F$9/30))/($I$6*1000)))/(((SUMIF($J$16:$J$20,"&gt;"&amp;(($F$8*$F$6*1000)/($F$9*30)))-(COUNTIF($J$16:$J$20,"&gt;"&amp;(($F$8*$F$6*1000)/($F$9*30)))*(($F$8*$F$6*1000)/($F$9*30))))*$K$9)+((COUNTIF($J$16:$J$20,"&gt;"&amp;(($F$8*$F$6*1000)/($F$9*30)))*(($F$8*$F$6*1000)/($F$9*30)))*$K$8)+(SUMIF($J$16:$J$20,"&lt;="&amp;(($F$8*$F$6*1000)/($F$9*30)))*$K$8))),J19*($O$6-(($P$8+$P$9)*$F$6*$F$9/30))/($I$6*1000))),"-",IF($I$6&gt;$F$8*$F$6/30,IF(SUM($J$16,$J$20)=0,0,(IF(J19&gt;($F$8*$F$6*1000)/($F$9*30),(((J19-(($F$8*$F$6*1000)/($F$9*30)))*$K$9)+((($F$8*$F$6*1000)/($F$9*30))*$K$8)),J19*$K$8)*($J$21*($O$6-(($P$8+$P$9)*$F$6*$F$9/30))/($I$6*1000)))/(((SUMIF($J$16:$J$20,"&gt;"&amp;(($F$8*$F$6*1000)/($F$9*30)))-(COUNTIF($J$16:$J$20,"&gt;"&amp;(($F$8*$F$6*1000)/($F$9*30)))*(($F$8*$F$6*1000)/($F$9*30))))*$K$9)+((COUNTIF($J$16:$J$20,"&gt;"&amp;(($F$8*$F$6*1000)/($F$9*30)))*(($F$8*$F$6*1000)/($F$9*30)))*$K$8)+(SUMIF($J$16:$J$20,"&lt;="&amp;(($F$8*$F$6*1000)/($F$9*30)))*$K$8))),J19*($O$6-(($P$8+$P$9)*$F$6*$F$9/30))/($I$6*1000)))</f>
        <v>-</v>
      </c>
      <c r="O19" s="31" t="str">
        <f t="shared" si="4"/>
        <v>-</v>
      </c>
      <c r="P19" s="141" t="str">
        <f t="shared" si="5"/>
        <v>-</v>
      </c>
      <c r="R19" s="151"/>
    </row>
    <row r="20" spans="2:18" ht="23.25" thickBot="1" x14ac:dyDescent="0.3">
      <c r="B20" s="142">
        <f t="shared" si="0"/>
        <v>5</v>
      </c>
      <c r="C20" s="154" t="str">
        <f>'مشخصات واحدها'!B6</f>
        <v>چهارم</v>
      </c>
      <c r="D20" s="154">
        <f>'مشخصات واحدها'!C6</f>
        <v>45</v>
      </c>
      <c r="E20" s="165">
        <v>0</v>
      </c>
      <c r="F20" s="341">
        <v>1</v>
      </c>
      <c r="G20" s="342"/>
      <c r="H20" s="143">
        <v>0</v>
      </c>
      <c r="I20" s="143">
        <v>0</v>
      </c>
      <c r="J20" s="164">
        <f t="shared" si="1"/>
        <v>0</v>
      </c>
      <c r="K20" s="167" t="str">
        <f t="shared" si="2"/>
        <v>-</v>
      </c>
      <c r="L20" s="167" t="str">
        <f>IF(ISERROR(IF(E20="خالی",0,((($I$6*1000-$J$21)*($O$6-(($P$8+$P$9)*$F$6*$F$9/30)))/($I$6*1000))*((($F$6-E20)/($F$6*($P$11-COUNTIF($E$16:$E$20,"خالی"))))+(SUM($E$16:$E$20)/($F$6*($P$11-COUNTIF($E$16:$E$20,"خالی"))*($P$11-COUNTIF($E$16:$E$20,"خالی"))))))),"-",IF(E20="خالی",0,((($I$6*1000-$J$21)*($O$6-(($P$8+$P$9)*$F$6*$F$9/30)))/($I$6*1000))*((($F$6-E20)/($F$6*($P$11-COUNTIF($E$16:$E$20,"خالی"))))+(SUM($E$16:$E$20)/($F$6*($P$11-COUNTIF($E$16:$E$20,"خالی"))*($P$11-COUNTIF($E$16:$E$20,"خالی")))))))</f>
        <v>-</v>
      </c>
      <c r="M20" s="144" t="str">
        <f t="shared" si="3"/>
        <v>-</v>
      </c>
      <c r="N20" s="167" t="str">
        <f>IF(ISERROR(IF($I$6&gt;$F$8*$F$6/30,IF(SUM($J$16,$J$20)=0,0,(IF(J20&gt;($F$8*$F$6*1000)/($F$9*30),(((J20-(($F$8*$F$6*1000)/($F$9*30)))*$K$9)+((($F$8*$F$6*1000)/($F$9*30))*$K$8)),J20*$K$8)*($J$21*($O$6-(($P$8+$P$9)*$F$6*$F$9/30))/($I$6*1000)))/(((SUMIF($J$16:$J$20,"&gt;"&amp;(($F$8*$F$6*1000)/($F$9*30)))-(COUNTIF($J$16:$J$20,"&gt;"&amp;(($F$8*$F$6*1000)/($F$9*30)))*(($F$8*$F$6*1000)/($F$9*30))))*$K$9)+((COUNTIF($J$16:$J$20,"&gt;"&amp;(($F$8*$F$6*1000)/($F$9*30)))*(($F$8*$F$6*1000)/($F$9*30)))*$K$8)+(SUMIF($J$16:$J$20,"&lt;="&amp;(($F$8*$F$6*1000)/($F$9*30)))*$K$8))),J20*($O$6-(($P$8+$P$9)*$F$6*$F$9/30))/($I$6*1000))),"-",IF($I$6&gt;$F$8*$F$6/30,IF(SUM($J$16,$J$20)=0,0,(IF(J20&gt;($F$8*$F$6*1000)/($F$9*30),(((J20-(($F$8*$F$6*1000)/($F$9*30)))*$K$9)+((($F$8*$F$6*1000)/($F$9*30))*$K$8)),J20*$K$8)*($J$21*($O$6-(($P$8+$P$9)*$F$6*$F$9/30))/($I$6*1000)))/(((SUMIF($J$16:$J$20,"&gt;"&amp;(($F$8*$F$6*1000)/($F$9*30)))-(COUNTIF($J$16:$J$20,"&gt;"&amp;(($F$8*$F$6*1000)/($F$9*30)))*(($F$8*$F$6*1000)/($F$9*30))))*$K$9)+((COUNTIF($J$16:$J$20,"&gt;"&amp;(($F$8*$F$6*1000)/($F$9*30)))*(($F$8*$F$6*1000)/($F$9*30)))*$K$8)+(SUMIF($J$16:$J$20,"&lt;="&amp;(($F$8*$F$6*1000)/($F$9*30)))*$K$8))),J20*($O$6-(($P$8+$P$9)*$F$6*$F$9/30))/($I$6*1000)))</f>
        <v>-</v>
      </c>
      <c r="O20" s="144" t="str">
        <f t="shared" si="4"/>
        <v>-</v>
      </c>
      <c r="P20" s="145" t="str">
        <f t="shared" si="5"/>
        <v>-</v>
      </c>
      <c r="R20" s="150"/>
    </row>
    <row r="21" spans="2:18" ht="37.5" thickTop="1" thickBot="1" x14ac:dyDescent="0.3">
      <c r="B21" s="328" t="s">
        <v>147</v>
      </c>
      <c r="C21" s="329"/>
      <c r="D21" s="329"/>
      <c r="E21" s="329"/>
      <c r="F21" s="329"/>
      <c r="G21" s="329"/>
      <c r="H21" s="329"/>
      <c r="I21" s="330"/>
      <c r="J21" s="146">
        <f t="shared" ref="J21:P21" si="6">SUM(J16:J20)</f>
        <v>0</v>
      </c>
      <c r="K21" s="147">
        <f t="shared" si="6"/>
        <v>0</v>
      </c>
      <c r="L21" s="147">
        <f t="shared" si="6"/>
        <v>0</v>
      </c>
      <c r="M21" s="148">
        <f t="shared" si="6"/>
        <v>0</v>
      </c>
      <c r="N21" s="147">
        <f t="shared" si="6"/>
        <v>0</v>
      </c>
      <c r="O21" s="148">
        <f t="shared" si="6"/>
        <v>0</v>
      </c>
      <c r="P21" s="149">
        <f t="shared" si="6"/>
        <v>0</v>
      </c>
    </row>
    <row r="22" spans="2:18" ht="23.25" thickTop="1" x14ac:dyDescent="0.25"/>
  </sheetData>
  <sheetProtection algorithmName="SHA-512" hashValue="BqmMblrKKLerFhl2aTnpsqvUd9gKNJeOb63pDbX8mVMuV/RMcv6Ld6OAkTMP8fL2cqk8rYwa6PkxsqDHCa/2zg==" saltValue="+s/ZOO1a806MtfWGXzyGxA==" spinCount="100000" sheet="1" objects="1" scenarios="1" selectLockedCells="1"/>
  <mergeCells count="49">
    <mergeCell ref="B11:D11"/>
    <mergeCell ref="B12:D12"/>
    <mergeCell ref="E11:E12"/>
    <mergeCell ref="F16:G16"/>
    <mergeCell ref="F13:G13"/>
    <mergeCell ref="J14:J15"/>
    <mergeCell ref="H14:I14"/>
    <mergeCell ref="E14:E15"/>
    <mergeCell ref="B21:I21"/>
    <mergeCell ref="B14:B15"/>
    <mergeCell ref="C14:C15"/>
    <mergeCell ref="D14:D15"/>
    <mergeCell ref="F14:G15"/>
    <mergeCell ref="F17:G17"/>
    <mergeCell ref="F18:G18"/>
    <mergeCell ref="F19:G19"/>
    <mergeCell ref="F20:G20"/>
    <mergeCell ref="P14:P15"/>
    <mergeCell ref="P11:P12"/>
    <mergeCell ref="L14:L15"/>
    <mergeCell ref="M14:M15"/>
    <mergeCell ref="N14:N15"/>
    <mergeCell ref="O14:O15"/>
    <mergeCell ref="N11:N12"/>
    <mergeCell ref="O11:O12"/>
    <mergeCell ref="K11:K12"/>
    <mergeCell ref="L11:M11"/>
    <mergeCell ref="L12:M12"/>
    <mergeCell ref="B2:P2"/>
    <mergeCell ref="O4:P5"/>
    <mergeCell ref="I4:I5"/>
    <mergeCell ref="J4:N4"/>
    <mergeCell ref="G4:H4"/>
    <mergeCell ref="F4:F5"/>
    <mergeCell ref="B4:E4"/>
    <mergeCell ref="B5:D5"/>
    <mergeCell ref="I11:J12"/>
    <mergeCell ref="H11:H12"/>
    <mergeCell ref="O6:P6"/>
    <mergeCell ref="B6:D6"/>
    <mergeCell ref="F11:G12"/>
    <mergeCell ref="B8:E8"/>
    <mergeCell ref="B9:E9"/>
    <mergeCell ref="F8:G8"/>
    <mergeCell ref="F9:G9"/>
    <mergeCell ref="M8:O8"/>
    <mergeCell ref="M9:O9"/>
    <mergeCell ref="I8:J8"/>
    <mergeCell ref="I9:J9"/>
  </mergeCells>
  <conditionalFormatting sqref="E16:E20">
    <cfRule type="containsText" dxfId="7" priority="2" operator="containsText" text="خالی">
      <formula>NOT(ISERROR(SEARCH("خالی",E16)))</formula>
    </cfRule>
  </conditionalFormatting>
  <conditionalFormatting sqref="F16:G20">
    <cfRule type="cellIs" dxfId="6" priority="1" operator="notEqual">
      <formula>1</formula>
    </cfRule>
  </conditionalFormatting>
  <dataValidations count="3">
    <dataValidation operator="greaterThan" allowBlank="1" sqref="F6" xr:uid="{4BEAB559-371D-4131-8178-A8B4572B4290}"/>
    <dataValidation type="date" operator="greaterThan" allowBlank="1" showErrorMessage="1" errorTitle="خطای درج تاریخ!" error="تاریخ قرائت &quot;کنونی&quot; باید از تاریخ قرائت &quot;پیشین&quot; بیشتر باشد." sqref="E6" xr:uid="{E3086075-DD0E-49EE-8790-E8861E5CE7D4}">
      <formula1>B6</formula1>
    </dataValidation>
    <dataValidation type="decimal" operator="greaterThan" allowBlank="1" showErrorMessage="1" errorTitle="اشکال در ورود اطلاعات" error="عدد مندرج در این قسمت باید بزرگ‌تر از 0 (صفر) باشد._x000a_(ضریب خطای کنتور سالم، 1 است.)" sqref="F16:G20" xr:uid="{2087C288-0DE8-4282-B93F-A538CF95B6C0}">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xr:uid="{316E5F5E-9B98-4EC4-A9EE-789A157B1C37}">
          <x14:formula1>
            <xm:f>پارامترها!$B$2</xm:f>
          </x14:formula1>
          <xm:sqref>R14:R19</xm:sqref>
        </x14:dataValidation>
        <x14:dataValidation type="list" allowBlank="1" xr:uid="{021ADA45-74A9-4F63-A04A-B8868830CAFF}">
          <x14:formula1>
            <xm:f>پارامترها!$B$2</xm:f>
          </x14:formula1>
          <xm:sqref>E16:E20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5D63B-1F76-4157-A9CB-54487BC96975}">
  <sheetPr codeName="Sheet5">
    <tabColor rgb="FFFFC000"/>
  </sheetPr>
  <dimension ref="B1:N45"/>
  <sheetViews>
    <sheetView showGridLines="0" rightToLeft="1" zoomScale="110" zoomScaleNormal="110" workbookViewId="0">
      <selection activeCell="L4" sqref="L4:M4"/>
    </sheetView>
  </sheetViews>
  <sheetFormatPr defaultColWidth="9" defaultRowHeight="22.5" customHeight="1" x14ac:dyDescent="0.25"/>
  <cols>
    <col min="1" max="1" width="1.7109375" style="1" customWidth="1"/>
    <col min="2" max="2" width="6.7109375" style="32" customWidth="1"/>
    <col min="3" max="3" width="14.7109375" style="33" customWidth="1"/>
    <col min="4" max="4" width="23.7109375" style="1" customWidth="1"/>
    <col min="5" max="5" width="23.7109375" style="32" customWidth="1"/>
    <col min="6" max="6" width="23.7109375" style="1" customWidth="1"/>
    <col min="7" max="7" width="3.7109375" style="1" customWidth="1"/>
    <col min="8" max="13" width="8.7109375" style="1" customWidth="1"/>
    <col min="14" max="14" width="18.7109375" style="1" customWidth="1"/>
    <col min="15" max="16384" width="9" style="1"/>
  </cols>
  <sheetData>
    <row r="1" spans="2:14" ht="7.5" customHeight="1" thickBot="1" x14ac:dyDescent="0.3"/>
    <row r="2" spans="2:14" ht="31.5" customHeight="1" thickTop="1" thickBot="1" x14ac:dyDescent="0.3">
      <c r="B2" s="364" t="s">
        <v>161</v>
      </c>
      <c r="C2" s="365"/>
      <c r="D2" s="365"/>
      <c r="E2" s="365"/>
      <c r="F2" s="365"/>
      <c r="G2" s="365"/>
      <c r="H2" s="365"/>
      <c r="I2" s="365"/>
      <c r="J2" s="365"/>
      <c r="K2" s="365"/>
      <c r="L2" s="365"/>
      <c r="M2" s="365"/>
      <c r="N2" s="366"/>
    </row>
    <row r="3" spans="2:14" ht="12.75" customHeight="1" thickTop="1" thickBot="1" x14ac:dyDescent="0.3"/>
    <row r="4" spans="2:14" ht="32.1" customHeight="1" thickTop="1" thickBot="1" x14ac:dyDescent="0.3">
      <c r="B4" s="69" t="s">
        <v>0</v>
      </c>
      <c r="C4" s="75" t="s">
        <v>82</v>
      </c>
      <c r="D4" s="70" t="s">
        <v>78</v>
      </c>
      <c r="E4" s="71" t="s">
        <v>79</v>
      </c>
      <c r="F4" s="72" t="s">
        <v>80</v>
      </c>
      <c r="H4" s="369" t="s">
        <v>83</v>
      </c>
      <c r="I4" s="369"/>
      <c r="J4" s="369"/>
      <c r="K4" s="369"/>
      <c r="L4" s="370">
        <v>1400</v>
      </c>
      <c r="M4" s="370"/>
      <c r="N4" s="52"/>
    </row>
    <row r="5" spans="2:14" ht="24.95" customHeight="1" thickTop="1" x14ac:dyDescent="0.25">
      <c r="B5" s="38">
        <v>1</v>
      </c>
      <c r="C5" s="67" t="s">
        <v>66</v>
      </c>
      <c r="D5" s="53">
        <f>SUMIFS(واریزی‌ها!$E:$E,واریزی‌ها!$C:$C,"&gt;="&amp;(INT(($L$4-1282)/4)*366+(($L$4-1279)-INT(($L$4-1282)/4))*365+IF(OR(MOD($L$4,4)=2,MOD($L$4,4)=3),81,82)),واریزی‌ها!$C:$C,"&lt;"&amp;(INT(($L$4-1282)/4)*366+(($L$4-1279)-INT(($L$4-1282)/4))*365+IF(OR(MOD($L$4,4)=2,MOD($L$4,4)=3),81,82)+31))</f>
        <v>0</v>
      </c>
      <c r="E5" s="54">
        <f>SUMIFS(هزینه‌ها!$E:$E,هزینه‌ها!$C:$C,"&gt;="&amp;(INT(($L$4-1282)/4)*366+(($L$4-1279)-INT(($L$4-1282)/4))*365+IF(OR(MOD($L$4,4)=2,MOD($L$4,4)=3),81,82)),هزینه‌ها!$C:$C,"&lt;"&amp;(INT(($L$4-1282)/4)*366+(($L$4-1279)-INT(($L$4-1282)/4))*365+IF(OR(MOD($L$4,4)=2,MOD($L$4,4)=3),81,82)+31))</f>
        <v>0</v>
      </c>
      <c r="F5" s="50">
        <f>D5-E5</f>
        <v>0</v>
      </c>
      <c r="H5" s="34"/>
      <c r="I5" s="34"/>
      <c r="J5" s="35"/>
      <c r="K5" s="35"/>
      <c r="L5" s="36"/>
    </row>
    <row r="6" spans="2:14" ht="24.95" customHeight="1" x14ac:dyDescent="0.25">
      <c r="B6" s="38">
        <v>2</v>
      </c>
      <c r="C6" s="68" t="s">
        <v>67</v>
      </c>
      <c r="D6" s="53">
        <f>SUMIFS(واریزی‌ها!$E:$E,واریزی‌ها!$C:$C,"&gt;="&amp;(INT(($L$4-1282)/4)*366+(($L$4-1279)-INT(($L$4-1282)/4))*365+IF(OR(MOD($L$4,4)=2,MOD($L$4,4)=3),81,82)+31),واریزی‌ها!$C:$C,"&lt;"&amp;(INT(($L$4-1282)/4)*366+(($L$4-1279)-INT(($L$4-1282)/4))*365+IF(OR(MOD($L$4,4)=2,MOD($L$4,4)=3),81,82)+62))</f>
        <v>0</v>
      </c>
      <c r="E6" s="54">
        <f>SUMIFS(هزینه‌ها!$E:$E,هزینه‌ها!$C:$C,"&gt;="&amp;(INT(($L$4-1282)/4)*366+(($L$4-1279)-INT(($L$4-1282)/4))*365+IF(OR(MOD($L$4,4)=2,MOD($L$4,4)=3),81,82)+31),هزینه‌ها!$C:$C,"&lt;"&amp;(INT(($L$4-1282)/4)*366+(($L$4-1279)-INT(($L$4-1282)/4))*365+IF(OR(MOD($L$4,4)=2,MOD($L$4,4)=3),81,82)+62))</f>
        <v>0</v>
      </c>
      <c r="F6" s="50">
        <f t="shared" ref="F6:F16" si="0">D6-E6</f>
        <v>0</v>
      </c>
      <c r="H6" s="371"/>
      <c r="I6" s="371"/>
      <c r="J6" s="371"/>
      <c r="K6" s="371"/>
      <c r="L6" s="371"/>
    </row>
    <row r="7" spans="2:14" ht="24.95" customHeight="1" x14ac:dyDescent="0.25">
      <c r="B7" s="38">
        <v>3</v>
      </c>
      <c r="C7" s="68" t="s">
        <v>68</v>
      </c>
      <c r="D7" s="53">
        <f>SUMIFS(واریزی‌ها!$E:$E,واریزی‌ها!$C:$C,"&gt;="&amp;(INT(($L$4-1282)/4)*366+(($L$4-1279)-INT(($L$4-1282)/4))*365+IF(OR(MOD($L$4,4)=2,MOD($L$4,4)=3),81,82)+62),واریزی‌ها!$C:$C,"&lt;"&amp;(INT(($L$4-1282)/4)*366+(($L$4-1279)-INT(($L$4-1282)/4))*365+IF(OR(MOD($L$4,4)=2,MOD($L$4,4)=3),81,82)+93))</f>
        <v>0</v>
      </c>
      <c r="E7" s="54">
        <f>SUMIFS(هزینه‌ها!$E:$E,هزینه‌ها!$C:$C,"&gt;="&amp;(INT(($L$4-1282)/4)*366+(($L$4-1279)-INT(($L$4-1282)/4))*365+IF(OR(MOD($L$4,4)=2,MOD($L$4,4)=3),81,82)+62),هزینه‌ها!$C:$C,"&lt;"&amp;(INT(($L$4-1282)/4)*366+(($L$4-1279)-INT(($L$4-1282)/4))*365+IF(OR(MOD($L$4,4)=2,MOD($L$4,4)=3),81,82)+93))</f>
        <v>0</v>
      </c>
      <c r="F7" s="50">
        <f t="shared" si="0"/>
        <v>0</v>
      </c>
      <c r="H7" s="371"/>
      <c r="I7" s="371"/>
      <c r="J7" s="371"/>
      <c r="K7" s="371"/>
      <c r="L7" s="371"/>
    </row>
    <row r="8" spans="2:14" ht="24.95" customHeight="1" x14ac:dyDescent="0.25">
      <c r="B8" s="38">
        <v>4</v>
      </c>
      <c r="C8" s="68" t="s">
        <v>69</v>
      </c>
      <c r="D8" s="53">
        <f>SUMIFS(واریزی‌ها!$E:$E,واریزی‌ها!$C:$C,"&gt;="&amp;(INT(($L$4-1282)/4)*366+(($L$4-1279)-INT(($L$4-1282)/4))*365+IF(OR(MOD($L$4,4)=2,MOD($L$4,4)=3),81,82)+93),واریزی‌ها!$C:$C,"&lt;"&amp;(INT(($L$4-1282)/4)*366+(($L$4-1279)-INT(($L$4-1282)/4))*365+IF(OR(MOD($L$4,4)=2,MOD($L$4,4)=3),81,82)+124))</f>
        <v>0</v>
      </c>
      <c r="E8" s="54">
        <f>SUMIFS(هزینه‌ها!$E:$E,هزینه‌ها!$C:$C,"&gt;="&amp;(INT(($L$4-1282)/4)*366+(($L$4-1279)-INT(($L$4-1282)/4))*365+IF(OR(MOD($L$4,4)=2,MOD($L$4,4)=3),81,82)+93),هزینه‌ها!$C:$C,"&lt;"&amp;(INT(($L$4-1282)/4)*366+(($L$4-1279)-INT(($L$4-1282)/4))*365+IF(OR(MOD($L$4,4)=2,MOD($L$4,4)=3),81,82)+124))</f>
        <v>0</v>
      </c>
      <c r="F8" s="50">
        <f t="shared" si="0"/>
        <v>0</v>
      </c>
      <c r="H8" s="51"/>
      <c r="I8" s="372"/>
      <c r="J8" s="372"/>
      <c r="K8" s="373"/>
      <c r="L8" s="373"/>
    </row>
    <row r="9" spans="2:14" ht="24.95" customHeight="1" x14ac:dyDescent="0.25">
      <c r="B9" s="38">
        <v>5</v>
      </c>
      <c r="C9" s="68" t="s">
        <v>70</v>
      </c>
      <c r="D9" s="53">
        <f>SUMIFS(واریزی‌ها!$E:$E,واریزی‌ها!$C:$C,"&gt;="&amp;(INT(($L$4-1282)/4)*366+(($L$4-1279)-INT(($L$4-1282)/4))*365+IF(OR(MOD($L$4,4)=2,MOD($L$4,4)=3),81,82)+124),واریزی‌ها!$C:$C,"&lt;"&amp;(INT(($L$4-1282)/4)*366+(($L$4-1279)-INT(($L$4-1282)/4))*365+IF(OR(MOD($L$4,4)=2,MOD($L$4,4)=3),81,82)+155))</f>
        <v>0</v>
      </c>
      <c r="E9" s="54">
        <f>SUMIFS(هزینه‌ها!$E:$E,هزینه‌ها!$C:$C,"&gt;="&amp;(INT(($L$4-1282)/4)*366+(($L$4-1279)-INT(($L$4-1282)/4))*365+IF(OR(MOD($L$4,4)=2,MOD($L$4,4)=3),81,82)+124),هزینه‌ها!$C:$C,"&lt;"&amp;(INT(($L$4-1282)/4)*366+(($L$4-1279)-INT(($L$4-1282)/4))*365+IF(OR(MOD($L$4,4)=2,MOD($L$4,4)=3),81,82)+155))</f>
        <v>0</v>
      </c>
      <c r="F9" s="50">
        <f t="shared" si="0"/>
        <v>0</v>
      </c>
      <c r="H9" s="51"/>
      <c r="I9" s="372"/>
      <c r="J9" s="372"/>
      <c r="K9" s="374"/>
      <c r="L9" s="374"/>
    </row>
    <row r="10" spans="2:14" ht="24.95" customHeight="1" x14ac:dyDescent="0.25">
      <c r="B10" s="38">
        <v>6</v>
      </c>
      <c r="C10" s="68" t="s">
        <v>71</v>
      </c>
      <c r="D10" s="53">
        <f>SUMIFS(واریزی‌ها!$E:$E,واریزی‌ها!$C:$C,"&gt;="&amp;(INT(($L$4-1282)/4)*366+(($L$4-1279)-INT(($L$4-1282)/4))*365+IF(OR(MOD($L$4,4)=2,MOD($L$4,4)=3),81,82)+155),واریزی‌ها!$C:$C,"&lt;"&amp;(INT(($L$4-1282)/4)*366+(($L$4-1279)-INT(($L$4-1282)/4))*365+IF(OR(MOD($L$4,4)=2,MOD($L$4,4)=3),81,82)+186))</f>
        <v>0</v>
      </c>
      <c r="E10" s="54">
        <f>SUMIFS(هزینه‌ها!$E:$E,هزینه‌ها!$C:$C,"&gt;="&amp;(INT(($L$4-1282)/4)*366+(($L$4-1279)-INT(($L$4-1282)/4))*365+IF(OR(MOD($L$4,4)=2,MOD($L$4,4)=3),81,82)+155),هزینه‌ها!$C:$C,"&lt;"&amp;(INT(($L$4-1282)/4)*366+(($L$4-1279)-INT(($L$4-1282)/4))*365+IF(OR(MOD($L$4,4)=2,MOD($L$4,4)=3),81,82)+186))</f>
        <v>0</v>
      </c>
      <c r="F10" s="50">
        <f t="shared" si="0"/>
        <v>0</v>
      </c>
      <c r="J10" s="42"/>
    </row>
    <row r="11" spans="2:14" ht="24.95" customHeight="1" x14ac:dyDescent="0.25">
      <c r="B11" s="38">
        <v>7</v>
      </c>
      <c r="C11" s="68" t="s">
        <v>72</v>
      </c>
      <c r="D11" s="53">
        <f>SUMIFS(واریزی‌ها!$E:$E,واریزی‌ها!$C:$C,"&gt;="&amp;(INT(($L$4-1282)/4)*366+(($L$4-1279)-INT(($L$4-1282)/4))*365+IF(OR(MOD($L$4,4)=2,MOD($L$4,4)=3),81,82)+186),واریزی‌ها!$C:$C,"&lt;"&amp;(INT(($L$4-1282)/4)*366+(($L$4-1279)-INT(($L$4-1282)/4))*365+IF(OR(MOD($L$4,4)=2,MOD($L$4,4)=3),81,82)+216))</f>
        <v>0</v>
      </c>
      <c r="E11" s="54">
        <f>SUMIFS(هزینه‌ها!$E:$E,هزینه‌ها!$C:$C,"&gt;="&amp;(INT(($L$4-1282)/4)*366+(($L$4-1279)-INT(($L$4-1282)/4))*365+IF(OR(MOD($L$4,4)=2,MOD($L$4,4)=3),81,82)+186),هزینه‌ها!$C:$C,"&lt;"&amp;(INT(($L$4-1282)/4)*366+(($L$4-1279)-INT(($L$4-1282)/4))*365+IF(OR(MOD($L$4,4)=2,MOD($L$4,4)=3),81,82)+216))</f>
        <v>0</v>
      </c>
      <c r="F11" s="50">
        <f t="shared" si="0"/>
        <v>0</v>
      </c>
      <c r="I11" s="48"/>
      <c r="J11" s="42"/>
      <c r="K11" s="47"/>
    </row>
    <row r="12" spans="2:14" ht="24.95" customHeight="1" x14ac:dyDescent="0.25">
      <c r="B12" s="38">
        <v>8</v>
      </c>
      <c r="C12" s="68" t="s">
        <v>73</v>
      </c>
      <c r="D12" s="53">
        <f>SUMIFS(واریزی‌ها!$E:$E,واریزی‌ها!$C:$C,"&gt;="&amp;(INT(($L$4-1282)/4)*366+(($L$4-1279)-INT(($L$4-1282)/4))*365+IF(OR(MOD($L$4,4)=2,MOD($L$4,4)=3),81,82)+216),واریزی‌ها!$C:$C,"&lt;"&amp;(INT(($L$4-1282)/4)*366+(($L$4-1279)-INT(($L$4-1282)/4))*365+IF(OR(MOD($L$4,4)=2,MOD($L$4,4)=3),81,82)+246))</f>
        <v>0</v>
      </c>
      <c r="E12" s="54">
        <f>SUMIFS(هزینه‌ها!$E:$E,هزینه‌ها!$C:$C,"&gt;="&amp;(INT(($L$4-1282)/4)*366+(($L$4-1279)-INT(($L$4-1282)/4))*365+IF(OR(MOD($L$4,4)=2,MOD($L$4,4)=3),81,82)+216),هزینه‌ها!$C:$C,"&lt;"&amp;(INT(($L$4-1282)/4)*366+(($L$4-1279)-INT(($L$4-1282)/4))*365+IF(OR(MOD($L$4,4)=2,MOD($L$4,4)=3),81,82)+246))</f>
        <v>0</v>
      </c>
      <c r="F12" s="50">
        <f t="shared" si="0"/>
        <v>0</v>
      </c>
    </row>
    <row r="13" spans="2:14" ht="24.95" customHeight="1" x14ac:dyDescent="0.25">
      <c r="B13" s="38">
        <v>9</v>
      </c>
      <c r="C13" s="68" t="s">
        <v>74</v>
      </c>
      <c r="D13" s="53">
        <f>SUMIFS(واریزی‌ها!$E:$E,واریزی‌ها!$C:$C,"&gt;="&amp;(INT(($L$4-1282)/4)*366+(($L$4-1279)-INT(($L$4-1282)/4))*365+IF(OR(MOD($L$4,4)=2,MOD($L$4,4)=3),81,82)+246),واریزی‌ها!$C:$C,"&lt;"&amp;(INT(($L$4-1282)/4)*366+(($L$4-1279)-INT(($L$4-1282)/4))*365+IF(OR(MOD($L$4,4)=2,MOD($L$4,4)=3),81,82)+276))</f>
        <v>0</v>
      </c>
      <c r="E13" s="54">
        <f>SUMIFS(هزینه‌ها!$E:$E,هزینه‌ها!$C:$C,"&gt;="&amp;(INT(($L$4-1282)/4)*366+(($L$4-1279)-INT(($L$4-1282)/4))*365+IF(OR(MOD($L$4,4)=2,MOD($L$4,4)=3),81,82)+246),هزینه‌ها!$C:$C,"&lt;"&amp;(INT(($L$4-1282)/4)*366+(($L$4-1279)-INT(($L$4-1282)/4))*365+IF(OR(MOD($L$4,4)=2,MOD($L$4,4)=3),81,82)+276))</f>
        <v>0</v>
      </c>
      <c r="F13" s="50">
        <f t="shared" si="0"/>
        <v>0</v>
      </c>
      <c r="I13" s="49"/>
      <c r="K13" s="45"/>
    </row>
    <row r="14" spans="2:14" ht="24.95" customHeight="1" x14ac:dyDescent="0.25">
      <c r="B14" s="38">
        <v>10</v>
      </c>
      <c r="C14" s="68" t="s">
        <v>75</v>
      </c>
      <c r="D14" s="53">
        <f>SUMIFS(واریزی‌ها!$E:$E,واریزی‌ها!$C:$C,"&gt;="&amp;(INT(($L$4-1282)/4)*366+(($L$4-1279)-INT(($L$4-1282)/4))*365+IF(OR(MOD($L$4,4)=2,MOD($L$4,4)=3),81,82)+276),واریزی‌ها!$C:$C,"&lt;"&amp;(INT(($L$4-1282)/4)*366+(($L$4-1279)-INT(($L$4-1282)/4))*365+IF(OR(MOD($L$4,4)=2,MOD($L$4,4)=3),81,82)+306))</f>
        <v>0</v>
      </c>
      <c r="E14" s="54">
        <f>SUMIFS(هزینه‌ها!$E:$E,هزینه‌ها!$C:$C,"&gt;="&amp;(INT(($L$4-1282)/4)*366+(($L$4-1279)-INT(($L$4-1282)/4))*365+IF(OR(MOD($L$4,4)=2,MOD($L$4,4)=3),81,82)+276),هزینه‌ها!$C:$C,"&lt;"&amp;(INT(($L$4-1282)/4)*366+(($L$4-1279)-INT(($L$4-1282)/4))*365+IF(OR(MOD($L$4,4)=2,MOD($L$4,4)=3),81,82)+306))</f>
        <v>0</v>
      </c>
      <c r="F14" s="50">
        <f t="shared" si="0"/>
        <v>0</v>
      </c>
    </row>
    <row r="15" spans="2:14" ht="24.95" customHeight="1" x14ac:dyDescent="0.25">
      <c r="B15" s="38">
        <v>11</v>
      </c>
      <c r="C15" s="68" t="s">
        <v>76</v>
      </c>
      <c r="D15" s="53">
        <f>SUMIFS(واریزی‌ها!$E:$E,واریزی‌ها!$C:$C,"&gt;="&amp;(INT(($L$4-1282)/4)*366+(($L$4-1279)-INT(($L$4-1282)/4))*365+IF(OR(MOD($L$4,4)=2,MOD($L$4,4)=3),81,82)+306),واریزی‌ها!$C:$C,"&lt;"&amp;(INT(($L$4-1282)/4)*366+(($L$4-1279)-INT(($L$4-1282)/4))*365+IF(OR(MOD($L$4,4)=2,MOD($L$4,4)=3),81,82)+336))</f>
        <v>0</v>
      </c>
      <c r="E15" s="54">
        <f>SUMIFS(هزینه‌ها!$E:$E,هزینه‌ها!$C:$C,"&gt;="&amp;(INT(($L$4-1282)/4)*366+(($L$4-1279)-INT(($L$4-1282)/4))*365+IF(OR(MOD($L$4,4)=2,MOD($L$4,4)=3),81,82)+306),هزینه‌ها!$C:$C,"&lt;"&amp;(INT(($L$4-1282)/4)*366+(($L$4-1279)-INT(($L$4-1282)/4))*365+IF(OR(MOD($L$4,4)=2,MOD($L$4,4)=3),81,82)+336))</f>
        <v>0</v>
      </c>
      <c r="F15" s="50">
        <f t="shared" si="0"/>
        <v>0</v>
      </c>
    </row>
    <row r="16" spans="2:14" ht="24.95" customHeight="1" thickBot="1" x14ac:dyDescent="0.3">
      <c r="B16" s="38">
        <v>12</v>
      </c>
      <c r="C16" s="68" t="s">
        <v>77</v>
      </c>
      <c r="D16" s="53">
        <f>SUMIFS(واریزی‌ها!$E:$E,واریزی‌ها!$C:$C,"&gt;="&amp;(INT(($L$4-1282)/4)*366+(($L$4-1279)-INT(($L$4-1282)/4))*365+IF(OR(MOD($L$4,4)=2,MOD($L$4,4)=3),81,82)+336),واریزی‌ها!$C:$C,"&lt;"&amp;(INT(($L$4-1282)/4)*366+(($L$4-1279)-INT(($L$4-1282)/4))*365+IF(OR(MOD($L$4,4)=2,MOD($L$4,4)=3),81,82)+IF(MOD($L$4,4)=3,366,365)))</f>
        <v>0</v>
      </c>
      <c r="E16" s="54">
        <f>SUMIFS(هزینه‌ها!$E:$E,هزینه‌ها!$C:$C,"&gt;="&amp;(INT(($L$4-1282)/4)*366+(($L$4-1279)-INT(($L$4-1282)/4))*365+IF(OR(MOD($L$4,4)=2,MOD($L$4,4)=3),81,82)+336),هزینه‌ها!$C:$C,"&lt;"&amp;(INT(($L$4-1282)/4)*366+(($L$4-1279)-INT(($L$4-1282)/4))*365+IF(OR(MOD($L$4,4)=2,MOD($L$4,4)=3),81,82)+IF(MOD($L$4,4)=3,366,365)))</f>
        <v>0</v>
      </c>
      <c r="F16" s="50">
        <f t="shared" si="0"/>
        <v>0</v>
      </c>
    </row>
    <row r="17" spans="2:14" ht="39.950000000000003" customHeight="1" thickTop="1" thickBot="1" x14ac:dyDescent="0.3">
      <c r="B17" s="367" t="s">
        <v>81</v>
      </c>
      <c r="C17" s="368"/>
      <c r="D17" s="55">
        <f>SUM(D5:D16)</f>
        <v>0</v>
      </c>
      <c r="E17" s="56">
        <f>SUM(E5:E16)</f>
        <v>0</v>
      </c>
      <c r="F17" s="57">
        <f>SUM(F5:F16)</f>
        <v>0</v>
      </c>
    </row>
    <row r="18" spans="2:14" ht="22.5" customHeight="1" thickTop="1" x14ac:dyDescent="0.25"/>
    <row r="19" spans="2:14" ht="22.5" customHeight="1" x14ac:dyDescent="0.25">
      <c r="B19" s="375"/>
      <c r="C19" s="375"/>
      <c r="D19" s="375"/>
      <c r="E19" s="375"/>
      <c r="F19" s="375"/>
      <c r="G19" s="375"/>
      <c r="H19" s="375"/>
      <c r="I19" s="375"/>
      <c r="J19" s="375"/>
      <c r="K19" s="375"/>
      <c r="L19" s="375"/>
      <c r="M19" s="375"/>
      <c r="N19" s="375"/>
    </row>
    <row r="20" spans="2:14" ht="9" customHeight="1" thickBot="1" x14ac:dyDescent="0.3"/>
    <row r="21" spans="2:14" ht="31.5" customHeight="1" thickTop="1" thickBot="1" x14ac:dyDescent="0.3">
      <c r="B21" s="364" t="s">
        <v>104</v>
      </c>
      <c r="C21" s="365"/>
      <c r="D21" s="365"/>
      <c r="E21" s="365"/>
      <c r="F21" s="365"/>
      <c r="G21" s="365"/>
      <c r="H21" s="365"/>
      <c r="I21" s="365"/>
      <c r="J21" s="365"/>
      <c r="K21" s="365"/>
      <c r="L21" s="365"/>
      <c r="M21" s="365"/>
      <c r="N21" s="366"/>
    </row>
    <row r="22" spans="2:14" ht="22.5" customHeight="1" thickTop="1" thickBot="1" x14ac:dyDescent="0.3"/>
    <row r="23" spans="2:14" ht="32.1" customHeight="1" thickTop="1" thickBot="1" x14ac:dyDescent="0.3">
      <c r="B23" s="69" t="s">
        <v>0</v>
      </c>
      <c r="C23" s="352" t="s">
        <v>106</v>
      </c>
      <c r="D23" s="352"/>
      <c r="E23" s="72" t="s">
        <v>78</v>
      </c>
      <c r="N23" s="349" t="s">
        <v>105</v>
      </c>
    </row>
    <row r="24" spans="2:14" ht="22.5" customHeight="1" thickTop="1" x14ac:dyDescent="0.25">
      <c r="B24" s="38">
        <v>1</v>
      </c>
      <c r="C24" s="353" t="s">
        <v>86</v>
      </c>
      <c r="D24" s="353"/>
      <c r="E24" s="74">
        <f>SUMIFS(واریزی‌ها!$E:$E,واریزی‌ها!$D:$D,"شارژ ماهانه",واریزی‌ها!$C:$C,"&gt;="&amp;(INT(($L$4-1282)/4)*366+(($L$4-1279)-INT(($L$4-1282)/4))*365+IF(OR(MOD($L$4,4)=2,MOD($L$4,4)=3),81,82)),واریزی‌ها!$C:$C,"&lt;"&amp;(INT(($L$4-1282)/4)*366+(($L$4-1279)-INT(($L$4-1282)/4))*365+IF(OR(MOD($L$4,4)=2,MOD($L$4,4)=3),81,82)+IF(MOD($L$4,4)=3,366,365)))</f>
        <v>0</v>
      </c>
      <c r="N24" s="350"/>
    </row>
    <row r="25" spans="2:14" ht="22.5" customHeight="1" x14ac:dyDescent="0.25">
      <c r="B25" s="73">
        <v>2</v>
      </c>
      <c r="C25" s="354" t="s">
        <v>87</v>
      </c>
      <c r="D25" s="354"/>
      <c r="E25" s="74">
        <f>SUMIFS(واریزی‌ها!$E:$E,واریزی‌ها!$D:$D,"سهم قبض آب",واریزی‌ها!$C:$C,"&gt;="&amp;(INT(($L$4-1282)/4)*366+(($L$4-1279)-INT(($L$4-1282)/4))*365+IF(OR(MOD($L$4,4)=2,MOD($L$4,4)=3),81,82)),واریزی‌ها!$C:$C,"&lt;"&amp;(INT(($L$4-1282)/4)*366+(($L$4-1279)-INT(($L$4-1282)/4))*365+IF(OR(MOD($L$4,4)=2,MOD($L$4,4)=3),81,82)+IF(MOD($L$4,4)=3,366,365)))</f>
        <v>0</v>
      </c>
      <c r="N25" s="350"/>
    </row>
    <row r="26" spans="2:14" ht="22.5" customHeight="1" x14ac:dyDescent="0.25">
      <c r="B26" s="73">
        <v>3</v>
      </c>
      <c r="C26" s="354" t="s">
        <v>88</v>
      </c>
      <c r="D26" s="354"/>
      <c r="E26" s="74">
        <f>SUMIFS(واریزی‌ها!$E:$E,واریزی‌ها!$D:$D,"سرانه",واریزی‌ها!$C:$C,"&gt;="&amp;(INT(($L$4-1282)/4)*366+(($L$4-1279)-INT(($L$4-1282)/4))*365+IF(OR(MOD($L$4,4)=2,MOD($L$4,4)=3),81,82)),واریزی‌ها!$C:$C,"&lt;"&amp;(INT(($L$4-1282)/4)*366+(($L$4-1279)-INT(($L$4-1282)/4))*365+IF(OR(MOD($L$4,4)=2,MOD($L$4,4)=3),81,82)+IF(MOD($L$4,4)=3,366,365)))</f>
        <v>0</v>
      </c>
      <c r="N26" s="350"/>
    </row>
    <row r="27" spans="2:14" ht="22.5" customHeight="1" x14ac:dyDescent="0.25">
      <c r="B27" s="73">
        <v>4</v>
      </c>
      <c r="C27" s="354" t="s">
        <v>92</v>
      </c>
      <c r="D27" s="354"/>
      <c r="E27" s="74">
        <f>SUMIFS(واریزی‌ها!$E:$E,واریزی‌ها!$D:$D,"سهم خودپرداز",واریزی‌ها!$C:$C,"&gt;="&amp;(INT(($L$4-1282)/4)*366+(($L$4-1279)-INT(($L$4-1282)/4))*365+IF(OR(MOD($L$4,4)=2,MOD($L$4,4)=3),81,82)),واریزی‌ها!$C:$C,"&lt;"&amp;(INT(($L$4-1282)/4)*366+(($L$4-1279)-INT(($L$4-1282)/4))*365+IF(OR(MOD($L$4,4)=2,MOD($L$4,4)=3),81,82)+IF(MOD($L$4,4)=3,366,365)))</f>
        <v>0</v>
      </c>
      <c r="N27" s="350"/>
    </row>
    <row r="28" spans="2:14" ht="22.5" customHeight="1" thickBot="1" x14ac:dyDescent="0.3">
      <c r="B28" s="76">
        <v>5</v>
      </c>
      <c r="C28" s="361" t="s">
        <v>108</v>
      </c>
      <c r="D28" s="361"/>
      <c r="E28" s="74">
        <f>SUMIFS(واریزی‌ها!$E:$E,واریزی‌ها!$D:$D,"واریزی متفرقه",واریزی‌ها!$C:$C,"&gt;="&amp;(INT(($L$4-1282)/4)*366+(($L$4-1279)-INT(($L$4-1282)/4))*365+IF(OR(MOD($L$4,4)=2,MOD($L$4,4)=3),81,82)),واریزی‌ها!$C:$C,"&lt;"&amp;(INT(($L$4-1282)/4)*366+(($L$4-1279)-INT(($L$4-1282)/4))*365+IF(OR(MOD($L$4,4)=2,MOD($L$4,4)=3),81,82)+IF(MOD($L$4,4)=3,366,365)))</f>
        <v>0</v>
      </c>
      <c r="N28" s="350"/>
    </row>
    <row r="29" spans="2:14" ht="39.950000000000003" customHeight="1" thickTop="1" thickBot="1" x14ac:dyDescent="0.3">
      <c r="B29" s="359" t="s">
        <v>81</v>
      </c>
      <c r="C29" s="360"/>
      <c r="D29" s="360"/>
      <c r="E29" s="57">
        <f>SUM(E24:E28)</f>
        <v>0</v>
      </c>
      <c r="N29" s="351"/>
    </row>
    <row r="30" spans="2:14" ht="22.5" customHeight="1" thickTop="1" thickBot="1" x14ac:dyDescent="0.3"/>
    <row r="31" spans="2:14" ht="32.1" customHeight="1" thickTop="1" thickBot="1" x14ac:dyDescent="0.3">
      <c r="B31" s="69" t="s">
        <v>0</v>
      </c>
      <c r="C31" s="352" t="s">
        <v>107</v>
      </c>
      <c r="D31" s="352"/>
      <c r="E31" s="72" t="s">
        <v>79</v>
      </c>
      <c r="F31" s="62"/>
      <c r="N31" s="355" t="s">
        <v>110</v>
      </c>
    </row>
    <row r="32" spans="2:14" ht="22.5" customHeight="1" thickTop="1" x14ac:dyDescent="0.25">
      <c r="B32" s="38">
        <v>1</v>
      </c>
      <c r="C32" s="353" t="s">
        <v>89</v>
      </c>
      <c r="D32" s="353"/>
      <c r="E32" s="77">
        <f>SUMIFS(هزینه‌ها!$E:$E,هزینه‌ها!$D:$D,"قبض آب",هزینه‌ها!$C:$C,"&gt;="&amp;(INT(($L$4-1282)/4)*366+(($L$4-1279)-INT(($L$4-1282)/4))*365+IF(OR(MOD($L$4,4)=2,MOD($L$4,4)=3),81,82)),هزینه‌ها!$C:$C,"&lt;"&amp;(INT(($L$4-1282)/4)*366+(($L$4-1279)-INT(($L$4-1282)/4))*365+IF(OR(MOD($L$4,4)=2,MOD($L$4,4)=3),81,82)+IF(MOD($L$4,4)=3,366,365)))</f>
        <v>0</v>
      </c>
      <c r="F32" s="65"/>
      <c r="N32" s="356"/>
    </row>
    <row r="33" spans="2:14" ht="22.5" customHeight="1" x14ac:dyDescent="0.25">
      <c r="B33" s="73">
        <v>2</v>
      </c>
      <c r="C33" s="354" t="s">
        <v>93</v>
      </c>
      <c r="D33" s="354"/>
      <c r="E33" s="77">
        <f>SUMIFS(هزینه‌ها!$E:$E,هزینه‌ها!$D:$D,"قبض برق",هزینه‌ها!$C:$C,"&gt;="&amp;(INT(($L$4-1282)/4)*366+(($L$4-1279)-INT(($L$4-1282)/4))*365+IF(OR(MOD($L$4,4)=2,MOD($L$4,4)=3),81,82)),هزینه‌ها!$C:$C,"&lt;"&amp;(INT(($L$4-1282)/4)*366+(($L$4-1279)-INT(($L$4-1282)/4))*365+IF(OR(MOD($L$4,4)=2,MOD($L$4,4)=3),81,82)+IF(MOD($L$4,4)=3,366,365)))</f>
        <v>0</v>
      </c>
      <c r="F33" s="65"/>
      <c r="N33" s="356"/>
    </row>
    <row r="34" spans="2:14" ht="22.5" customHeight="1" x14ac:dyDescent="0.25">
      <c r="B34" s="73">
        <v>3</v>
      </c>
      <c r="C34" s="354" t="s">
        <v>90</v>
      </c>
      <c r="D34" s="354"/>
      <c r="E34" s="77">
        <f>SUMIFS(هزینه‌ها!$E:$E,هزینه‌ها!$D:$D,"حقوق نگهبان",هزینه‌ها!$C:$C,"&gt;="&amp;(INT(($L$4-1282)/4)*366+(($L$4-1279)-INT(($L$4-1282)/4))*365+IF(OR(MOD($L$4,4)=2,MOD($L$4,4)=3),81,82)),هزینه‌ها!$C:$C,"&lt;"&amp;(INT(($L$4-1282)/4)*366+(($L$4-1279)-INT(($L$4-1282)/4))*365+IF(OR(MOD($L$4,4)=2,MOD($L$4,4)=3),81,82)+IF(MOD($L$4,4)=3,366,365)))</f>
        <v>0</v>
      </c>
      <c r="F34" s="65"/>
      <c r="N34" s="356"/>
    </row>
    <row r="35" spans="2:14" ht="22.5" customHeight="1" x14ac:dyDescent="0.25">
      <c r="B35" s="73">
        <v>4</v>
      </c>
      <c r="C35" s="362" t="s">
        <v>91</v>
      </c>
      <c r="D35" s="363"/>
      <c r="E35" s="77">
        <f>SUMIFS(هزینه‌ها!$E:$E,هزینه‌ها!$D:$D,"نظافت مجتمع",هزینه‌ها!$C:$C,"&gt;="&amp;(INT(($L$4-1282)/4)*366+(($L$4-1279)-INT(($L$4-1282)/4))*365+IF(OR(MOD($L$4,4)=2,MOD($L$4,4)=3),81,82)),هزینه‌ها!$C:$C,"&lt;"&amp;(INT(($L$4-1282)/4)*366+(($L$4-1279)-INT(($L$4-1282)/4))*365+IF(OR(MOD($L$4,4)=2,MOD($L$4,4)=3),81,82)+IF(MOD($L$4,4)=3,366,365)))</f>
        <v>0</v>
      </c>
      <c r="F35" s="65"/>
      <c r="N35" s="356"/>
    </row>
    <row r="36" spans="2:14" ht="22.5" customHeight="1" x14ac:dyDescent="0.25">
      <c r="B36" s="73">
        <v>5</v>
      </c>
      <c r="C36" s="362" t="s">
        <v>94</v>
      </c>
      <c r="D36" s="363"/>
      <c r="E36" s="77">
        <f>SUMIFS(هزینه‌ها!$E:$E,هزینه‌ها!$D:$D,"اقلام مصرفی",هزینه‌ها!$C:$C,"&gt;="&amp;(INT(($L$4-1282)/4)*366+(($L$4-1279)-INT(($L$4-1282)/4))*365+IF(OR(MOD($L$4,4)=2,MOD($L$4,4)=3),81,82)),هزینه‌ها!$C:$C,"&lt;"&amp;(INT(($L$4-1282)/4)*366+(($L$4-1279)-INT(($L$4-1282)/4))*365+IF(OR(MOD($L$4,4)=2,MOD($L$4,4)=3),81,82)+IF(MOD($L$4,4)=3,366,365)))</f>
        <v>0</v>
      </c>
      <c r="F36" s="65"/>
      <c r="N36" s="356"/>
    </row>
    <row r="37" spans="2:14" ht="22.5" customHeight="1" x14ac:dyDescent="0.25">
      <c r="B37" s="73">
        <v>6</v>
      </c>
      <c r="C37" s="362" t="s">
        <v>95</v>
      </c>
      <c r="D37" s="363"/>
      <c r="E37" s="77">
        <f>SUMIFS(هزینه‌ها!$E:$E,هزینه‌ها!$D:$D,"تعمیرات مجتمع",هزینه‌ها!$C:$C,"&gt;="&amp;(INT(($L$4-1282)/4)*366+(($L$4-1279)-INT(($L$4-1282)/4))*365+IF(OR(MOD($L$4,4)=2,MOD($L$4,4)=3),81,82)),هزینه‌ها!$C:$C,"&lt;"&amp;(INT(($L$4-1282)/4)*366+(($L$4-1279)-INT(($L$4-1282)/4))*365+IF(OR(MOD($L$4,4)=2,MOD($L$4,4)=3),81,82)+IF(MOD($L$4,4)=3,366,365)))</f>
        <v>0</v>
      </c>
      <c r="F37" s="65"/>
      <c r="N37" s="356"/>
    </row>
    <row r="38" spans="2:14" ht="22.5" customHeight="1" x14ac:dyDescent="0.25">
      <c r="B38" s="73">
        <v>7</v>
      </c>
      <c r="C38" s="354" t="s">
        <v>96</v>
      </c>
      <c r="D38" s="354"/>
      <c r="E38" s="77">
        <f>SUMIFS(هزینه‌ها!$E:$E,هزینه‌ها!$D:$D,"بیمه مجتمع",هزینه‌ها!$C:$C,"&gt;="&amp;(INT(($L$4-1282)/4)*366+(($L$4-1279)-INT(($L$4-1282)/4))*365+IF(OR(MOD($L$4,4)=2,MOD($L$4,4)=3),81,82)),هزینه‌ها!$C:$C,"&lt;"&amp;(INT(($L$4-1282)/4)*366+(($L$4-1279)-INT(($L$4-1282)/4))*365+IF(OR(MOD($L$4,4)=2,MOD($L$4,4)=3),81,82)+IF(MOD($L$4,4)=3,366,365)))</f>
        <v>0</v>
      </c>
      <c r="F38" s="65"/>
      <c r="N38" s="356"/>
    </row>
    <row r="39" spans="2:14" ht="22.5" customHeight="1" thickBot="1" x14ac:dyDescent="0.3">
      <c r="B39" s="76">
        <v>8</v>
      </c>
      <c r="C39" s="361" t="s">
        <v>109</v>
      </c>
      <c r="D39" s="361"/>
      <c r="E39" s="77">
        <f>SUMIFS(هزینه‌ها!$E:$E,هزینه‌ها!$D:$D,"هزینه‌ی متفرقه",هزینه‌ها!$C:$C,"&gt;="&amp;(INT(($L$4-1282)/4)*366+(($L$4-1279)-INT(($L$4-1282)/4))*365+IF(OR(MOD($L$4,4)=2,MOD($L$4,4)=3),81,82)),هزینه‌ها!$C:$C,"&lt;"&amp;(INT(($L$4-1282)/4)*366+(($L$4-1279)-INT(($L$4-1282)/4))*365+IF(OR(MOD($L$4,4)=2,MOD($L$4,4)=3),81,82)+IF(MOD($L$4,4)=3,366,365)))</f>
        <v>0</v>
      </c>
      <c r="F39" s="65"/>
      <c r="N39" s="356"/>
    </row>
    <row r="40" spans="2:14" ht="39.950000000000003" customHeight="1" thickTop="1" thickBot="1" x14ac:dyDescent="0.3">
      <c r="B40" s="359" t="s">
        <v>81</v>
      </c>
      <c r="C40" s="360"/>
      <c r="D40" s="360"/>
      <c r="E40" s="78">
        <f>SUM(E32:E39)</f>
        <v>0</v>
      </c>
      <c r="F40" s="65"/>
      <c r="N40" s="357"/>
    </row>
    <row r="41" spans="2:14" ht="22.5" customHeight="1" thickTop="1" x14ac:dyDescent="0.25">
      <c r="D41" s="63"/>
      <c r="E41" s="64"/>
      <c r="F41" s="65"/>
    </row>
    <row r="42" spans="2:14" ht="22.5" customHeight="1" x14ac:dyDescent="0.25">
      <c r="D42" s="63"/>
      <c r="E42" s="64"/>
      <c r="F42" s="65"/>
    </row>
    <row r="43" spans="2:14" ht="22.5" customHeight="1" x14ac:dyDescent="0.25">
      <c r="D43" s="63"/>
      <c r="E43" s="64"/>
      <c r="F43" s="65"/>
    </row>
    <row r="44" spans="2:14" ht="22.5" customHeight="1" x14ac:dyDescent="0.25">
      <c r="D44" s="63"/>
      <c r="E44" s="64"/>
      <c r="F44" s="65"/>
    </row>
    <row r="45" spans="2:14" ht="22.5" customHeight="1" x14ac:dyDescent="0.25">
      <c r="D45" s="358"/>
      <c r="E45" s="358"/>
      <c r="F45" s="66"/>
    </row>
  </sheetData>
  <sheetProtection algorithmName="SHA-512" hashValue="gDP72VPoADvNokVZ2qBx3gnj9Pc2uypTBuuYUzNdb67IlYS1Hu18b/0yK8ZK+bLSyufGRAGUMNVh0JX6kGBdjA==" saltValue="2VauI/kiaqm6/Lh1le5BeA==" spinCount="100000" sheet="1" objects="1" scenarios="1" selectLockedCells="1"/>
  <mergeCells count="31">
    <mergeCell ref="B21:N21"/>
    <mergeCell ref="B17:C17"/>
    <mergeCell ref="B2:N2"/>
    <mergeCell ref="H4:K4"/>
    <mergeCell ref="L4:M4"/>
    <mergeCell ref="H6:L7"/>
    <mergeCell ref="I8:J8"/>
    <mergeCell ref="K8:L8"/>
    <mergeCell ref="I9:J9"/>
    <mergeCell ref="K9:L9"/>
    <mergeCell ref="B19:N19"/>
    <mergeCell ref="D45:E45"/>
    <mergeCell ref="C38:D38"/>
    <mergeCell ref="B40:D40"/>
    <mergeCell ref="C34:D34"/>
    <mergeCell ref="C28:D28"/>
    <mergeCell ref="C33:D33"/>
    <mergeCell ref="B29:D29"/>
    <mergeCell ref="C35:D35"/>
    <mergeCell ref="C36:D36"/>
    <mergeCell ref="C37:D37"/>
    <mergeCell ref="C39:D39"/>
    <mergeCell ref="N23:N29"/>
    <mergeCell ref="C31:D31"/>
    <mergeCell ref="C32:D32"/>
    <mergeCell ref="C23:D23"/>
    <mergeCell ref="C24:D24"/>
    <mergeCell ref="C25:D25"/>
    <mergeCell ref="C26:D26"/>
    <mergeCell ref="C27:D27"/>
    <mergeCell ref="N31:N40"/>
  </mergeCells>
  <conditionalFormatting sqref="D5:D16">
    <cfRule type="dataBar" priority="1">
      <dataBar>
        <cfvo type="min"/>
        <cfvo type="max"/>
        <color rgb="FF00B050"/>
      </dataBar>
      <extLst>
        <ext xmlns:x14="http://schemas.microsoft.com/office/spreadsheetml/2009/9/main" uri="{B025F937-C7B1-47D3-B67F-A62EFF666E3E}">
          <x14:id>{1007F409-6E42-425A-A59F-87CE2E4CA81E}</x14:id>
        </ext>
      </extLst>
    </cfRule>
  </conditionalFormatting>
  <conditionalFormatting sqref="E5:E16">
    <cfRule type="dataBar" priority="4">
      <dataBar>
        <cfvo type="min"/>
        <cfvo type="max"/>
        <color rgb="FFFF0000"/>
      </dataBar>
      <extLst>
        <ext xmlns:x14="http://schemas.microsoft.com/office/spreadsheetml/2009/9/main" uri="{B025F937-C7B1-47D3-B67F-A62EFF666E3E}">
          <x14:id>{673D7BEA-B7E5-4947-9FEA-4873864D4D6A}</x14:id>
        </ext>
      </extLst>
    </cfRule>
  </conditionalFormatting>
  <conditionalFormatting sqref="F5:F16">
    <cfRule type="colorScale" priority="5">
      <colorScale>
        <cfvo type="min"/>
        <cfvo type="num" val="0"/>
        <cfvo type="max"/>
        <color rgb="FFFF0000"/>
        <color rgb="FFFFFF00"/>
        <color rgb="FF00B050"/>
      </colorScale>
    </cfRule>
    <cfRule type="iconSet" priority="6">
      <iconSet iconSet="3Arrows">
        <cfvo type="percent" val="0"/>
        <cfvo type="num" val="0"/>
        <cfvo type="num" val="0" gte="0"/>
      </iconSet>
    </cfRule>
  </conditionalFormatting>
  <conditionalFormatting sqref="F17">
    <cfRule type="cellIs" dxfId="5" priority="7" operator="greaterThan">
      <formula>0</formula>
    </cfRule>
    <cfRule type="cellIs" dxfId="4" priority="8" operator="equal">
      <formula>0</formula>
    </cfRule>
    <cfRule type="cellIs" dxfId="3" priority="9" operator="lessThan">
      <formula>0</formula>
    </cfRule>
    <cfRule type="iconSet" priority="10">
      <iconSet iconSet="3Symbols2">
        <cfvo type="percent" val="0"/>
        <cfvo type="num" val="0"/>
        <cfvo type="num" val="0" gte="0"/>
      </iconSet>
    </cfRule>
  </conditionalFormatting>
  <conditionalFormatting sqref="E24:E28">
    <cfRule type="dataBar" priority="11">
      <dataBar>
        <cfvo type="min"/>
        <cfvo type="max"/>
        <color rgb="FF00B050"/>
      </dataBar>
      <extLst>
        <ext xmlns:x14="http://schemas.microsoft.com/office/spreadsheetml/2009/9/main" uri="{B025F937-C7B1-47D3-B67F-A62EFF666E3E}">
          <x14:id>{4A34C0F2-2FFD-4AA1-8D79-2D332C10F510}</x14:id>
        </ext>
      </extLst>
    </cfRule>
  </conditionalFormatting>
  <conditionalFormatting sqref="E32:E39">
    <cfRule type="dataBar" priority="14">
      <dataBar>
        <cfvo type="min"/>
        <cfvo type="max"/>
        <color rgb="FFFF0000"/>
      </dataBar>
      <extLst>
        <ext xmlns:x14="http://schemas.microsoft.com/office/spreadsheetml/2009/9/main" uri="{B025F937-C7B1-47D3-B67F-A62EFF666E3E}">
          <x14:id>{51EB0C32-4B17-41D1-860D-7836E750D157}</x14:id>
        </ext>
      </extLst>
    </cfRule>
  </conditionalFormatting>
  <dataValidations count="1">
    <dataValidation operator="greaterThan" allowBlank="1" showInputMessage="1" showErrorMessage="1" sqref="C5 C24 C32" xr:uid="{1256C68A-D728-4F08-8EAC-C191AA83FA15}"/>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dataBar" id="{1007F409-6E42-425A-A59F-87CE2E4CA81E}">
            <x14:dataBar minLength="0" maxLength="100" gradient="0">
              <x14:cfvo type="autoMin"/>
              <x14:cfvo type="autoMax"/>
              <x14:negativeFillColor rgb="FFFF0000"/>
              <x14:axisColor rgb="FF000000"/>
            </x14:dataBar>
          </x14:cfRule>
          <xm:sqref>D5:D16</xm:sqref>
        </x14:conditionalFormatting>
        <x14:conditionalFormatting xmlns:xm="http://schemas.microsoft.com/office/excel/2006/main">
          <x14:cfRule type="dataBar" id="{673D7BEA-B7E5-4947-9FEA-4873864D4D6A}">
            <x14:dataBar minLength="0" maxLength="100" gradient="0" direction="leftToRight">
              <x14:cfvo type="autoMin"/>
              <x14:cfvo type="autoMax"/>
              <x14:negativeFillColor rgb="FFFF0000"/>
              <x14:axisColor rgb="FF000000"/>
            </x14:dataBar>
          </x14:cfRule>
          <xm:sqref>E5:E16</xm:sqref>
        </x14:conditionalFormatting>
        <x14:conditionalFormatting xmlns:xm="http://schemas.microsoft.com/office/excel/2006/main">
          <x14:cfRule type="dataBar" id="{4A34C0F2-2FFD-4AA1-8D79-2D332C10F510}">
            <x14:dataBar minLength="0" maxLength="100" gradient="0">
              <x14:cfvo type="autoMin"/>
              <x14:cfvo type="autoMax"/>
              <x14:negativeFillColor rgb="FFFF0000"/>
              <x14:axisColor rgb="FF000000"/>
            </x14:dataBar>
          </x14:cfRule>
          <xm:sqref>E24:E28</xm:sqref>
        </x14:conditionalFormatting>
        <x14:conditionalFormatting xmlns:xm="http://schemas.microsoft.com/office/excel/2006/main">
          <x14:cfRule type="dataBar" id="{51EB0C32-4B17-41D1-860D-7836E750D157}">
            <x14:dataBar minLength="0" maxLength="100" gradient="0">
              <x14:cfvo type="autoMin"/>
              <x14:cfvo type="autoMax"/>
              <x14:negativeFillColor rgb="FFFF0000"/>
              <x14:axisColor rgb="FF000000"/>
            </x14:dataBar>
          </x14:cfRule>
          <xm:sqref>E32:E39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Title="سالی مالی محدوده دارد!" error="لطفاً یک سال مابین سال‌های 1395 تا 1406 درج نمایید." xr:uid="{9DEBD216-BE3B-4303-9798-3F73CDB6C20A}">
          <x14:formula1>
            <xm:f>پارامترها!$H$2:$H$13</xm:f>
          </x14:formula1>
          <xm:sqref>L4:M4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B993E-558B-415F-B99A-2C52377E8FB2}">
  <sheetPr codeName="Sheet6">
    <tabColor rgb="FF7030A0"/>
  </sheetPr>
  <dimension ref="A1:T7"/>
  <sheetViews>
    <sheetView showGridLines="0" rightToLeft="1" workbookViewId="0">
      <pane xSplit="3" ySplit="1" topLeftCell="D2" activePane="bottomRight" state="frozen"/>
      <selection pane="topRight" activeCell="D1" sqref="D1"/>
      <selection pane="bottomLeft" activeCell="A2" sqref="A2"/>
      <selection pane="bottomRight" activeCell="B2" sqref="B2"/>
    </sheetView>
  </sheetViews>
  <sheetFormatPr defaultColWidth="9" defaultRowHeight="24.95" customHeight="1" x14ac:dyDescent="0.25"/>
  <cols>
    <col min="1" max="1" width="5.7109375" style="88" customWidth="1"/>
    <col min="2" max="4" width="7.7109375" style="1" customWidth="1"/>
    <col min="5" max="5" width="12.7109375" style="1" customWidth="1"/>
    <col min="6" max="8" width="8.7109375" style="1" customWidth="1"/>
    <col min="9" max="9" width="15.7109375" style="41" customWidth="1"/>
    <col min="10" max="10" width="20.7109375" style="1" customWidth="1"/>
    <col min="11" max="12" width="15.7109375" style="89" customWidth="1"/>
    <col min="13" max="13" width="15.7109375" style="1" customWidth="1"/>
    <col min="14" max="14" width="20.7109375" style="1" customWidth="1"/>
    <col min="15" max="17" width="15.7109375" style="1" customWidth="1"/>
    <col min="18" max="19" width="20.7109375" style="1" customWidth="1"/>
    <col min="20" max="20" width="40.7109375" style="1" customWidth="1"/>
    <col min="21" max="16384" width="9" style="1"/>
  </cols>
  <sheetData>
    <row r="1" spans="1:20" ht="45.75" customHeight="1" thickTop="1" thickBot="1" x14ac:dyDescent="0.3">
      <c r="A1" s="100" t="s">
        <v>0</v>
      </c>
      <c r="B1" s="101" t="s">
        <v>1</v>
      </c>
      <c r="C1" s="101" t="s">
        <v>2</v>
      </c>
      <c r="D1" s="101" t="s">
        <v>3</v>
      </c>
      <c r="E1" s="101" t="s">
        <v>4</v>
      </c>
      <c r="F1" s="102" t="s">
        <v>42</v>
      </c>
      <c r="G1" s="102" t="s">
        <v>35</v>
      </c>
      <c r="H1" s="102" t="s">
        <v>13</v>
      </c>
      <c r="I1" s="103" t="s">
        <v>17</v>
      </c>
      <c r="J1" s="101" t="s">
        <v>5</v>
      </c>
      <c r="K1" s="104" t="s">
        <v>6</v>
      </c>
      <c r="L1" s="104" t="s">
        <v>7</v>
      </c>
      <c r="M1" s="102" t="s">
        <v>8</v>
      </c>
      <c r="N1" s="101" t="s">
        <v>9</v>
      </c>
      <c r="O1" s="102" t="s">
        <v>10</v>
      </c>
      <c r="P1" s="102" t="s">
        <v>11</v>
      </c>
      <c r="Q1" s="102" t="s">
        <v>12</v>
      </c>
      <c r="R1" s="102" t="s">
        <v>15</v>
      </c>
      <c r="S1" s="101" t="s">
        <v>16</v>
      </c>
      <c r="T1" s="105" t="s">
        <v>14</v>
      </c>
    </row>
    <row r="2" spans="1:20" ht="24.95" customHeight="1" thickTop="1" x14ac:dyDescent="0.25">
      <c r="A2" s="172">
        <f>ROW()-1</f>
        <v>1</v>
      </c>
      <c r="B2" s="201" t="s">
        <v>18</v>
      </c>
      <c r="C2" s="194">
        <v>1</v>
      </c>
      <c r="D2" s="173" t="s">
        <v>46</v>
      </c>
      <c r="E2" s="174" t="s">
        <v>20</v>
      </c>
      <c r="F2" s="175" t="s">
        <v>23</v>
      </c>
      <c r="G2" s="175" t="s">
        <v>23</v>
      </c>
      <c r="H2" s="175" t="s">
        <v>23</v>
      </c>
      <c r="I2" s="176" t="s">
        <v>46</v>
      </c>
      <c r="J2" s="177" t="s">
        <v>46</v>
      </c>
      <c r="K2" s="178" t="s">
        <v>46</v>
      </c>
      <c r="L2" s="178" t="s">
        <v>46</v>
      </c>
      <c r="M2" s="178" t="s">
        <v>46</v>
      </c>
      <c r="N2" s="179" t="s">
        <v>46</v>
      </c>
      <c r="O2" s="180" t="s">
        <v>46</v>
      </c>
      <c r="P2" s="180" t="s">
        <v>46</v>
      </c>
      <c r="Q2" s="180" t="s">
        <v>46</v>
      </c>
      <c r="R2" s="181" t="s">
        <v>46</v>
      </c>
      <c r="S2" s="182" t="s">
        <v>46</v>
      </c>
      <c r="T2" s="183" t="s">
        <v>46</v>
      </c>
    </row>
    <row r="3" spans="1:20" ht="24.95" customHeight="1" x14ac:dyDescent="0.25">
      <c r="A3" s="184">
        <f t="shared" ref="A3:A6" si="0">ROW()-1</f>
        <v>2</v>
      </c>
      <c r="B3" s="202" t="s">
        <v>19</v>
      </c>
      <c r="C3" s="195">
        <v>12</v>
      </c>
      <c r="D3" s="185" t="s">
        <v>46</v>
      </c>
      <c r="E3" s="106" t="s">
        <v>20</v>
      </c>
      <c r="F3" s="107" t="s">
        <v>23</v>
      </c>
      <c r="G3" s="107" t="s">
        <v>23</v>
      </c>
      <c r="H3" s="107" t="s">
        <v>23</v>
      </c>
      <c r="I3" s="108" t="s">
        <v>46</v>
      </c>
      <c r="J3" s="109" t="s">
        <v>46</v>
      </c>
      <c r="K3" s="110" t="s">
        <v>46</v>
      </c>
      <c r="L3" s="110" t="s">
        <v>46</v>
      </c>
      <c r="M3" s="110" t="s">
        <v>46</v>
      </c>
      <c r="N3" s="111" t="s">
        <v>46</v>
      </c>
      <c r="O3" s="112" t="s">
        <v>46</v>
      </c>
      <c r="P3" s="112" t="s">
        <v>46</v>
      </c>
      <c r="Q3" s="112" t="s">
        <v>46</v>
      </c>
      <c r="R3" s="186" t="s">
        <v>46</v>
      </c>
      <c r="S3" s="187" t="s">
        <v>46</v>
      </c>
      <c r="T3" s="188" t="s">
        <v>46</v>
      </c>
    </row>
    <row r="4" spans="1:20" ht="24.95" customHeight="1" x14ac:dyDescent="0.25">
      <c r="A4" s="184">
        <f t="shared" si="0"/>
        <v>3</v>
      </c>
      <c r="B4" s="202" t="s">
        <v>149</v>
      </c>
      <c r="C4" s="195">
        <v>23</v>
      </c>
      <c r="D4" s="185" t="s">
        <v>46</v>
      </c>
      <c r="E4" s="106" t="s">
        <v>20</v>
      </c>
      <c r="F4" s="107" t="s">
        <v>23</v>
      </c>
      <c r="G4" s="107" t="s">
        <v>23</v>
      </c>
      <c r="H4" s="107" t="s">
        <v>23</v>
      </c>
      <c r="I4" s="108" t="s">
        <v>46</v>
      </c>
      <c r="J4" s="109" t="s">
        <v>46</v>
      </c>
      <c r="K4" s="110" t="s">
        <v>46</v>
      </c>
      <c r="L4" s="110" t="s">
        <v>46</v>
      </c>
      <c r="M4" s="110" t="s">
        <v>46</v>
      </c>
      <c r="N4" s="111" t="s">
        <v>46</v>
      </c>
      <c r="O4" s="112" t="s">
        <v>46</v>
      </c>
      <c r="P4" s="112" t="s">
        <v>46</v>
      </c>
      <c r="Q4" s="112" t="s">
        <v>46</v>
      </c>
      <c r="R4" s="186" t="s">
        <v>46</v>
      </c>
      <c r="S4" s="187" t="s">
        <v>46</v>
      </c>
      <c r="T4" s="188" t="s">
        <v>46</v>
      </c>
    </row>
    <row r="5" spans="1:20" ht="24.95" customHeight="1" x14ac:dyDescent="0.25">
      <c r="A5" s="184">
        <f t="shared" si="0"/>
        <v>4</v>
      </c>
      <c r="B5" s="202" t="s">
        <v>150</v>
      </c>
      <c r="C5" s="195">
        <v>34</v>
      </c>
      <c r="D5" s="185" t="s">
        <v>46</v>
      </c>
      <c r="E5" s="106" t="s">
        <v>20</v>
      </c>
      <c r="F5" s="107" t="s">
        <v>23</v>
      </c>
      <c r="G5" s="107" t="s">
        <v>23</v>
      </c>
      <c r="H5" s="107" t="s">
        <v>23</v>
      </c>
      <c r="I5" s="108" t="s">
        <v>46</v>
      </c>
      <c r="J5" s="109" t="s">
        <v>46</v>
      </c>
      <c r="K5" s="110" t="s">
        <v>46</v>
      </c>
      <c r="L5" s="110" t="s">
        <v>46</v>
      </c>
      <c r="M5" s="110" t="s">
        <v>46</v>
      </c>
      <c r="N5" s="111" t="s">
        <v>46</v>
      </c>
      <c r="O5" s="112" t="s">
        <v>46</v>
      </c>
      <c r="P5" s="112" t="s">
        <v>46</v>
      </c>
      <c r="Q5" s="112" t="s">
        <v>46</v>
      </c>
      <c r="R5" s="186" t="s">
        <v>46</v>
      </c>
      <c r="S5" s="187" t="s">
        <v>46</v>
      </c>
      <c r="T5" s="188" t="s">
        <v>46</v>
      </c>
    </row>
    <row r="6" spans="1:20" ht="24.95" customHeight="1" thickBot="1" x14ac:dyDescent="0.3">
      <c r="A6" s="189">
        <f t="shared" si="0"/>
        <v>5</v>
      </c>
      <c r="B6" s="203" t="s">
        <v>151</v>
      </c>
      <c r="C6" s="196">
        <v>45</v>
      </c>
      <c r="D6" s="113" t="s">
        <v>46</v>
      </c>
      <c r="E6" s="114" t="s">
        <v>20</v>
      </c>
      <c r="F6" s="115" t="s">
        <v>23</v>
      </c>
      <c r="G6" s="115" t="s">
        <v>23</v>
      </c>
      <c r="H6" s="115" t="s">
        <v>23</v>
      </c>
      <c r="I6" s="116" t="s">
        <v>46</v>
      </c>
      <c r="J6" s="117" t="s">
        <v>46</v>
      </c>
      <c r="K6" s="118" t="s">
        <v>46</v>
      </c>
      <c r="L6" s="118" t="s">
        <v>46</v>
      </c>
      <c r="M6" s="118" t="s">
        <v>46</v>
      </c>
      <c r="N6" s="119" t="s">
        <v>46</v>
      </c>
      <c r="O6" s="120" t="s">
        <v>46</v>
      </c>
      <c r="P6" s="120" t="s">
        <v>46</v>
      </c>
      <c r="Q6" s="120" t="s">
        <v>46</v>
      </c>
      <c r="R6" s="190" t="s">
        <v>46</v>
      </c>
      <c r="S6" s="191" t="s">
        <v>46</v>
      </c>
      <c r="T6" s="192" t="s">
        <v>46</v>
      </c>
    </row>
    <row r="7" spans="1:20" ht="24.95" customHeight="1" thickTop="1" x14ac:dyDescent="0.25"/>
  </sheetData>
  <sheetProtection algorithmName="SHA-512" hashValue="jFdQ3TgPFIm2PanKM5Rbpg9Zs12Se7MHMYRvWiCrIqXvbctIUdOy/51LbrTzZA4BYsjy7aUFxKdvItAJ/WzjgQ==" saltValue="i4vYqq0DoMTpC7UyazEr2w==" spinCount="100000" sheet="1" objects="1" scenarios="1" selectLockedCells="1"/>
  <conditionalFormatting sqref="E2:E6">
    <cfRule type="containsText" dxfId="2" priority="1" operator="containsText" text="فعال (مالک)">
      <formula>NOT(ISERROR(SEARCH("فعال (مالک)",E2)))</formula>
    </cfRule>
    <cfRule type="containsText" dxfId="1" priority="2" operator="containsText" text="فعال (مستأجر)">
      <formula>NOT(ISERROR(SEARCH("فعال (مستأجر)",E2)))</formula>
    </cfRule>
  </conditionalFormatting>
  <conditionalFormatting sqref="F2:H6">
    <cfRule type="cellIs" dxfId="0" priority="3" operator="equal">
      <formula>"دارد"</formula>
    </cfRule>
  </conditionalFormatting>
  <dataValidations count="6">
    <dataValidation type="textLength" operator="equal" showInputMessage="1" showErrorMessage="1" errorTitle="خطا در ورود اطلاعات!" error="شماره تلفن ثابت باید با درج پیش‌شماره و به‌صورت یک عدد 11 رقمی درج شود؛ مانند: 03123456789" sqref="O2:O6" xr:uid="{8C2696FC-6BEC-4430-9224-98459EAA374D}">
      <formula1>11</formula1>
    </dataValidation>
    <dataValidation type="textLength" operator="equal" showInputMessage="1" showErrorMessage="1" errorTitle="خطا در ورود اطلاعات!" error="شماره تلفن همراه باید به‌صورت یک عدد 11 رقمی درج شود؛ مانند: 09123456789" sqref="P2:Q6 L2:M6" xr:uid="{63CB5D34-4395-4093-B8A4-B80348AA7520}">
      <formula1>11</formula1>
    </dataValidation>
    <dataValidation type="decimal" operator="greaterThanOrEqual" showInputMessage="1" showErrorMessage="1" errorTitle="خطا در ورود اطلاعات!" error="متراژ باید عددی نامنفی باشد." sqref="D2:D6" xr:uid="{6C0A8242-8F80-40FE-ACEB-38ECACA7C55C}">
      <formula1>0</formula1>
    </dataValidation>
    <dataValidation type="textLength" operator="equal" showInputMessage="1" showErrorMessage="1" errorTitle="خطا در ورود اطلاعات!" error="کدپستی، یک عدد 10 رقمی غیر اعشاری و مثبت است." sqref="I2:I6" xr:uid="{5BA1816A-C5BF-4BBF-A6A1-D8611033BE35}">
      <formula1>10</formula1>
    </dataValidation>
    <dataValidation type="textLength" operator="equal" showInputMessage="1" showErrorMessage="1" errorTitle="خطا در ورود اطلاعات!" error="شماره تلفن ثابت باید با درج پیش‌شماره و به‌صورت یک عدد 11 رقمی درج شود؛ مانند: 03523456789" sqref="K2:K6" xr:uid="{4B4E58CD-6EA4-45D4-BADF-B0B0E499BBA0}">
      <formula1>11</formula1>
    </dataValidation>
    <dataValidation type="date" operator="greaterThanOrEqual" showInputMessage="1" showErrorMessage="1" errorTitle="خطای درج تاریخ!" error="تاریخ &quot;اتمام فعالیت&quot; باید از تاریخ &quot;شروع فعالیت&quot; بیشتر باشد." sqref="S2:S6" xr:uid="{3C67F218-3DEA-45AC-BA95-D28861B5C6AF}">
      <formula1>R2</formula1>
    </dataValidation>
  </dataValidations>
  <pageMargins left="0.7" right="0.7" top="0.75" bottom="0.75" header="0.3" footer="0.3"/>
  <pageSetup orientation="portrait" copies="0" r:id="rId1"/>
  <extLst>
    <ext xmlns:x14="http://schemas.microsoft.com/office/spreadsheetml/2009/9/main" uri="{CCE6A557-97BC-4b89-ADB6-D9C93CAAB3DF}">
      <x14:dataValidations xmlns:xm="http://schemas.microsoft.com/office/excel/2006/main" count="4">
        <x14:dataValidation type="list" allowBlank="1" showInputMessage="1" showErrorMessage="1" xr:uid="{93424F49-0D1C-471B-9D82-F993006B3FF7}">
          <x14:formula1>
            <xm:f>پارامترها!$C$2:$C$3</xm:f>
          </x14:formula1>
          <xm:sqref>G1 G7:G1048576</xm:sqref>
        </x14:dataValidation>
        <x14:dataValidation type="list" allowBlank="1" showInputMessage="1" showErrorMessage="1" xr:uid="{8C303D12-FB89-4000-849F-45CD145BC03E}">
          <x14:formula1>
            <xm:f>پارامترها!$A$2:$A$12</xm:f>
          </x14:formula1>
          <xm:sqref>B2:B6</xm:sqref>
        </x14:dataValidation>
        <x14:dataValidation type="list" showInputMessage="1" showErrorMessage="1" errorTitle="خطا در ورود اطلاعات!" error="لطفاً یکی از گزینه‌های لیست شده را انتخاب نمایید." xr:uid="{39305D1D-A956-4385-947E-D00952DF9152}">
          <x14:formula1>
            <xm:f>پارامترها!$B$2:$B$4</xm:f>
          </x14:formula1>
          <xm:sqref>E2:E6</xm:sqref>
        </x14:dataValidation>
        <x14:dataValidation type="list" showInputMessage="1" showErrorMessage="1" errorTitle="خطا در ورود اطلاعات!" error="لطفاً یکی از گزینه‌های لیست شده را انتخاب نمایید." xr:uid="{E5330143-6A61-4D68-AD71-1570DE1BB4CE}">
          <x14:formula1>
            <xm:f>پارامترها!$C$2:$C$3</xm:f>
          </x14:formula1>
          <xm:sqref>F2:H6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84ACB-BE33-4B04-8F65-5A4C490BEFB8}">
  <sheetPr>
    <tabColor rgb="FFFF0066"/>
  </sheetPr>
  <dimension ref="B24:S33"/>
  <sheetViews>
    <sheetView showGridLines="0" rightToLeft="1" topLeftCell="A18" workbookViewId="0">
      <selection activeCell="P24" sqref="P24:S26"/>
    </sheetView>
  </sheetViews>
  <sheetFormatPr defaultRowHeight="15" x14ac:dyDescent="0.25"/>
  <sheetData>
    <row r="24" spans="2:19" ht="15" customHeight="1" x14ac:dyDescent="0.25">
      <c r="B24" s="377" t="s">
        <v>165</v>
      </c>
      <c r="C24" s="377"/>
      <c r="D24" s="377"/>
      <c r="E24" s="377"/>
      <c r="F24" s="378" t="s">
        <v>171</v>
      </c>
      <c r="G24" s="378"/>
      <c r="H24" s="378"/>
      <c r="I24" s="378"/>
      <c r="J24" s="198"/>
      <c r="K24" s="198"/>
      <c r="L24" s="377" t="s">
        <v>166</v>
      </c>
      <c r="M24" s="377"/>
      <c r="N24" s="377"/>
      <c r="O24" s="377"/>
      <c r="P24" s="377" t="s">
        <v>173</v>
      </c>
      <c r="Q24" s="377"/>
      <c r="R24" s="377"/>
      <c r="S24" s="377"/>
    </row>
    <row r="25" spans="2:19" ht="15" customHeight="1" x14ac:dyDescent="0.25">
      <c r="B25" s="377"/>
      <c r="C25" s="377"/>
      <c r="D25" s="377"/>
      <c r="E25" s="377"/>
      <c r="F25" s="378"/>
      <c r="G25" s="378"/>
      <c r="H25" s="378"/>
      <c r="I25" s="378"/>
      <c r="J25" s="198"/>
      <c r="K25" s="198"/>
      <c r="L25" s="377"/>
      <c r="M25" s="377"/>
      <c r="N25" s="377"/>
      <c r="O25" s="377"/>
      <c r="P25" s="377"/>
      <c r="Q25" s="377"/>
      <c r="R25" s="377"/>
      <c r="S25" s="377"/>
    </row>
    <row r="26" spans="2:19" ht="15" customHeight="1" x14ac:dyDescent="0.25">
      <c r="B26" s="377"/>
      <c r="C26" s="377"/>
      <c r="D26" s="377"/>
      <c r="E26" s="377"/>
      <c r="F26" s="378"/>
      <c r="G26" s="378"/>
      <c r="H26" s="378"/>
      <c r="I26" s="378"/>
      <c r="J26" s="198"/>
      <c r="K26" s="198"/>
      <c r="L26" s="377"/>
      <c r="M26" s="377"/>
      <c r="N26" s="377"/>
      <c r="O26" s="377"/>
      <c r="P26" s="377"/>
      <c r="Q26" s="377"/>
      <c r="R26" s="377"/>
      <c r="S26" s="377"/>
    </row>
    <row r="28" spans="2:19" ht="15" customHeight="1" x14ac:dyDescent="0.25">
      <c r="B28" s="379" t="s">
        <v>167</v>
      </c>
      <c r="C28" s="379"/>
      <c r="D28" s="379"/>
      <c r="E28" s="379"/>
      <c r="F28" s="379"/>
      <c r="G28" s="379"/>
      <c r="H28" s="379"/>
      <c r="I28" s="379"/>
      <c r="J28" s="379"/>
      <c r="K28" s="379"/>
      <c r="L28" s="379"/>
      <c r="M28" s="379"/>
      <c r="N28" s="379"/>
      <c r="O28" s="379"/>
      <c r="P28" s="379"/>
      <c r="Q28" s="379"/>
      <c r="R28" s="379"/>
      <c r="S28" s="379"/>
    </row>
    <row r="29" spans="2:19" ht="15" customHeight="1" x14ac:dyDescent="0.25">
      <c r="B29" s="379"/>
      <c r="C29" s="379"/>
      <c r="D29" s="379"/>
      <c r="E29" s="379"/>
      <c r="F29" s="379"/>
      <c r="G29" s="379"/>
      <c r="H29" s="379"/>
      <c r="I29" s="379"/>
      <c r="J29" s="379"/>
      <c r="K29" s="379"/>
      <c r="L29" s="379"/>
      <c r="M29" s="379"/>
      <c r="N29" s="379"/>
      <c r="O29" s="379"/>
      <c r="P29" s="379"/>
      <c r="Q29" s="379"/>
      <c r="R29" s="379"/>
      <c r="S29" s="379"/>
    </row>
    <row r="30" spans="2:19" ht="15" customHeight="1" x14ac:dyDescent="0.25">
      <c r="B30" s="379"/>
      <c r="C30" s="379"/>
      <c r="D30" s="379"/>
      <c r="E30" s="379"/>
      <c r="F30" s="379"/>
      <c r="G30" s="379"/>
      <c r="H30" s="379"/>
      <c r="I30" s="379"/>
      <c r="J30" s="379"/>
      <c r="K30" s="379"/>
      <c r="L30" s="379"/>
      <c r="M30" s="379"/>
      <c r="N30" s="379"/>
      <c r="O30" s="379"/>
      <c r="P30" s="379"/>
      <c r="Q30" s="379"/>
      <c r="R30" s="379"/>
      <c r="S30" s="379"/>
    </row>
    <row r="31" spans="2:19" ht="15" customHeight="1" x14ac:dyDescent="0.25">
      <c r="C31" s="199"/>
      <c r="D31" s="199"/>
      <c r="E31" s="199"/>
      <c r="F31" s="199"/>
      <c r="G31" s="199"/>
    </row>
    <row r="32" spans="2:19" ht="15" customHeight="1" x14ac:dyDescent="0.5">
      <c r="C32" s="376" t="s">
        <v>170</v>
      </c>
      <c r="D32" s="376"/>
      <c r="E32" s="376"/>
      <c r="F32" s="376"/>
      <c r="G32" s="376"/>
      <c r="H32" s="200"/>
      <c r="I32" s="376" t="s">
        <v>168</v>
      </c>
      <c r="J32" s="376"/>
      <c r="K32" s="376"/>
      <c r="L32" s="376"/>
      <c r="M32" s="376"/>
      <c r="N32" s="200"/>
      <c r="O32" s="376" t="s">
        <v>169</v>
      </c>
      <c r="P32" s="376"/>
      <c r="Q32" s="376"/>
      <c r="R32" s="376"/>
      <c r="S32" s="376"/>
    </row>
    <row r="33" spans="3:19" ht="20.25" x14ac:dyDescent="0.5">
      <c r="C33" s="376"/>
      <c r="D33" s="376"/>
      <c r="E33" s="376"/>
      <c r="F33" s="376"/>
      <c r="G33" s="376"/>
      <c r="H33" s="200"/>
      <c r="I33" s="376"/>
      <c r="J33" s="376"/>
      <c r="K33" s="376"/>
      <c r="L33" s="376"/>
      <c r="M33" s="376"/>
      <c r="N33" s="200"/>
      <c r="O33" s="376"/>
      <c r="P33" s="376"/>
      <c r="Q33" s="376"/>
      <c r="R33" s="376"/>
      <c r="S33" s="376"/>
    </row>
  </sheetData>
  <sheetProtection algorithmName="SHA-512" hashValue="yADcPXISXV/pQop4sK92AtZI38Ctn5aKRkoho9klFh1RhjAPMdLSlpaAFHgHMbNf6bXqj3BN7KG1egb7G5Jdpg==" saltValue="MFDdyHYGpi2KslE4NHqfjg==" spinCount="100000" sheet="1" objects="1" scenarios="1" selectLockedCells="1"/>
  <mergeCells count="8">
    <mergeCell ref="C32:G33"/>
    <mergeCell ref="I32:M33"/>
    <mergeCell ref="O32:S33"/>
    <mergeCell ref="B24:E26"/>
    <mergeCell ref="F24:I26"/>
    <mergeCell ref="L24:O26"/>
    <mergeCell ref="P24:S26"/>
    <mergeCell ref="B28:S3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3E171-B539-4A58-B662-749300A7B55F}">
  <sheetPr codeName="Sheet7">
    <tabColor theme="1"/>
  </sheetPr>
  <dimension ref="A1:H14"/>
  <sheetViews>
    <sheetView showGridLines="0" rightToLeft="1" workbookViewId="0">
      <selection activeCell="A13" sqref="A13"/>
    </sheetView>
  </sheetViews>
  <sheetFormatPr defaultColWidth="9" defaultRowHeight="22.5" x14ac:dyDescent="0.6"/>
  <cols>
    <col min="1" max="2" width="15.7109375" style="1" customWidth="1"/>
    <col min="3" max="3" width="25.7109375" style="1" customWidth="1"/>
    <col min="4" max="8" width="15.7109375" style="1" customWidth="1"/>
    <col min="9" max="16384" width="9" style="2"/>
  </cols>
  <sheetData>
    <row r="1" spans="1:8" ht="30.75" customHeight="1" thickTop="1" thickBot="1" x14ac:dyDescent="0.65">
      <c r="A1" s="3" t="s">
        <v>1</v>
      </c>
      <c r="B1" s="4" t="s">
        <v>4</v>
      </c>
      <c r="C1" s="15" t="s">
        <v>36</v>
      </c>
      <c r="D1" s="19" t="s">
        <v>47</v>
      </c>
      <c r="E1" s="19" t="s">
        <v>84</v>
      </c>
      <c r="F1" s="19" t="s">
        <v>85</v>
      </c>
      <c r="G1" s="19" t="s">
        <v>111</v>
      </c>
      <c r="H1" s="5" t="s">
        <v>112</v>
      </c>
    </row>
    <row r="2" spans="1:8" ht="23.25" thickTop="1" x14ac:dyDescent="0.6">
      <c r="A2" s="6" t="s">
        <v>18</v>
      </c>
      <c r="B2" s="7" t="s">
        <v>20</v>
      </c>
      <c r="C2" s="7" t="s">
        <v>22</v>
      </c>
      <c r="D2" s="20" t="s">
        <v>48</v>
      </c>
      <c r="E2" s="20" t="s">
        <v>86</v>
      </c>
      <c r="F2" s="20" t="s">
        <v>89</v>
      </c>
      <c r="G2" s="20" t="s">
        <v>66</v>
      </c>
      <c r="H2" s="8">
        <v>1395</v>
      </c>
    </row>
    <row r="3" spans="1:8" x14ac:dyDescent="0.6">
      <c r="A3" s="9" t="s">
        <v>19</v>
      </c>
      <c r="B3" s="10" t="s">
        <v>21</v>
      </c>
      <c r="C3" s="10" t="s">
        <v>23</v>
      </c>
      <c r="D3" s="21" t="s">
        <v>49</v>
      </c>
      <c r="E3" s="21" t="s">
        <v>87</v>
      </c>
      <c r="F3" s="21" t="s">
        <v>93</v>
      </c>
      <c r="G3" s="21" t="s">
        <v>67</v>
      </c>
      <c r="H3" s="11">
        <v>1396</v>
      </c>
    </row>
    <row r="4" spans="1:8" x14ac:dyDescent="0.6">
      <c r="A4" s="9" t="s">
        <v>149</v>
      </c>
      <c r="B4" s="10" t="s">
        <v>45</v>
      </c>
      <c r="C4" s="10"/>
      <c r="D4" s="21" t="s">
        <v>50</v>
      </c>
      <c r="E4" s="21" t="s">
        <v>88</v>
      </c>
      <c r="F4" s="21" t="s">
        <v>90</v>
      </c>
      <c r="G4" s="21" t="s">
        <v>68</v>
      </c>
      <c r="H4" s="11">
        <v>1397</v>
      </c>
    </row>
    <row r="5" spans="1:8" x14ac:dyDescent="0.6">
      <c r="A5" s="58" t="s">
        <v>150</v>
      </c>
      <c r="B5" s="59"/>
      <c r="C5" s="59"/>
      <c r="D5" s="60"/>
      <c r="E5" s="60" t="s">
        <v>92</v>
      </c>
      <c r="F5" s="60" t="s">
        <v>91</v>
      </c>
      <c r="G5" s="60" t="s">
        <v>69</v>
      </c>
      <c r="H5" s="61">
        <v>1398</v>
      </c>
    </row>
    <row r="6" spans="1:8" x14ac:dyDescent="0.6">
      <c r="A6" s="58" t="s">
        <v>151</v>
      </c>
      <c r="B6" s="59"/>
      <c r="C6" s="59"/>
      <c r="D6" s="60"/>
      <c r="E6" s="60" t="s">
        <v>97</v>
      </c>
      <c r="F6" s="60" t="s">
        <v>94</v>
      </c>
      <c r="G6" s="60" t="s">
        <v>70</v>
      </c>
      <c r="H6" s="61">
        <v>1399</v>
      </c>
    </row>
    <row r="7" spans="1:8" x14ac:dyDescent="0.6">
      <c r="A7" s="58" t="s">
        <v>152</v>
      </c>
      <c r="B7" s="59"/>
      <c r="C7" s="59"/>
      <c r="D7" s="60"/>
      <c r="E7" s="60" t="s">
        <v>99</v>
      </c>
      <c r="F7" s="60" t="s">
        <v>95</v>
      </c>
      <c r="G7" s="60" t="s">
        <v>71</v>
      </c>
      <c r="H7" s="61">
        <v>1400</v>
      </c>
    </row>
    <row r="8" spans="1:8" x14ac:dyDescent="0.6">
      <c r="A8" s="58" t="s">
        <v>153</v>
      </c>
      <c r="B8" s="59"/>
      <c r="C8" s="59"/>
      <c r="D8" s="60"/>
      <c r="E8" s="60"/>
      <c r="F8" s="60" t="s">
        <v>96</v>
      </c>
      <c r="G8" s="60" t="s">
        <v>72</v>
      </c>
      <c r="H8" s="61">
        <v>1401</v>
      </c>
    </row>
    <row r="9" spans="1:8" x14ac:dyDescent="0.6">
      <c r="A9" s="58" t="s">
        <v>154</v>
      </c>
      <c r="B9" s="59"/>
      <c r="C9" s="59"/>
      <c r="D9" s="60"/>
      <c r="E9" s="60"/>
      <c r="F9" s="60" t="s">
        <v>98</v>
      </c>
      <c r="G9" s="60" t="s">
        <v>73</v>
      </c>
      <c r="H9" s="61">
        <v>1402</v>
      </c>
    </row>
    <row r="10" spans="1:8" x14ac:dyDescent="0.6">
      <c r="A10" s="58" t="s">
        <v>155</v>
      </c>
      <c r="B10" s="59"/>
      <c r="C10" s="59"/>
      <c r="D10" s="60"/>
      <c r="E10" s="60"/>
      <c r="F10" s="60" t="s">
        <v>100</v>
      </c>
      <c r="G10" s="60" t="s">
        <v>74</v>
      </c>
      <c r="H10" s="61">
        <v>1403</v>
      </c>
    </row>
    <row r="11" spans="1:8" x14ac:dyDescent="0.6">
      <c r="A11" s="58" t="s">
        <v>156</v>
      </c>
      <c r="B11" s="59"/>
      <c r="C11" s="59"/>
      <c r="D11" s="60"/>
      <c r="E11" s="60"/>
      <c r="F11" s="60"/>
      <c r="G11" s="60" t="s">
        <v>75</v>
      </c>
      <c r="H11" s="61">
        <v>1404</v>
      </c>
    </row>
    <row r="12" spans="1:8" x14ac:dyDescent="0.6">
      <c r="A12" s="58" t="s">
        <v>157</v>
      </c>
      <c r="B12" s="59"/>
      <c r="C12" s="59"/>
      <c r="D12" s="60"/>
      <c r="E12" s="60"/>
      <c r="F12" s="60"/>
      <c r="G12" s="60" t="s">
        <v>76</v>
      </c>
      <c r="H12" s="61">
        <v>1405</v>
      </c>
    </row>
    <row r="13" spans="1:8" ht="23.25" thickBot="1" x14ac:dyDescent="0.65">
      <c r="A13" s="12"/>
      <c r="B13" s="13"/>
      <c r="C13" s="13"/>
      <c r="D13" s="22"/>
      <c r="E13" s="22"/>
      <c r="F13" s="22"/>
      <c r="G13" s="22" t="s">
        <v>77</v>
      </c>
      <c r="H13" s="14">
        <v>1406</v>
      </c>
    </row>
    <row r="14" spans="1:8" ht="23.25" thickTop="1" x14ac:dyDescent="0.6"/>
  </sheetData>
  <sheetProtection algorithmName="SHA-512" hashValue="2VIw/sweqTeDoQUkRkXiHhvXk3k+FOKM5CVlLHLW+x5uzf+NsL9O5k3QkPocDLSnENrMbX0keRa3PpIwYXEYNA==" saltValue="+1QykoZvV4Z0vHLxoSkubQ==" spinCount="100000" sheet="1" objects="1" scenarios="1"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مدیریت</vt:lpstr>
      <vt:lpstr>واریزی‌ها</vt:lpstr>
      <vt:lpstr>هزینه‌ها</vt:lpstr>
      <vt:lpstr>آب‌بها</vt:lpstr>
      <vt:lpstr>عملکرد سالانه</vt:lpstr>
      <vt:lpstr>مشخصات واحدها</vt:lpstr>
      <vt:lpstr>درباره‌ی ما</vt:lpstr>
      <vt:lpstr>پارامترها</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RayaPardazesh</dc:creator>
  <cp:lastModifiedBy>RayaPardazesh</cp:lastModifiedBy>
  <cp:lastPrinted>2021-07-15T14:00:59Z</cp:lastPrinted>
  <dcterms:created xsi:type="dcterms:W3CDTF">2021-06-22T16:48:20Z</dcterms:created>
  <dcterms:modified xsi:type="dcterms:W3CDTF">2021-11-01T17:51:46Z</dcterms:modified>
</cp:coreProperties>
</file>