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66925"/>
  <mc:AlternateContent xmlns:mc="http://schemas.openxmlformats.org/markup-compatibility/2006">
    <mc:Choice Requires="x15">
      <x15ac:absPath xmlns:x15ac="http://schemas.microsoft.com/office/spreadsheetml/2010/11/ac" url="D:\My Files\Documents\"/>
    </mc:Choice>
  </mc:AlternateContent>
  <xr:revisionPtr revIDLastSave="0" documentId="13_ncr:1_{274D88DF-80CF-47E8-8A63-670EE5F1A966}" xr6:coauthVersionLast="47" xr6:coauthVersionMax="47" xr10:uidLastSave="{00000000-0000-0000-0000-000000000000}"/>
  <workbookProtection workbookAlgorithmName="SHA-512" workbookHashValue="O4/sOqEl4CgNe5EXLvQUcHJQ+wXU5GQQeeMLkTqmzfiptqeJxCuQveacBJDdZKMi77KXtvESTcmaJx134dvdhw==" workbookSaltValue="wm9L46jm7HbYgx7ZAkfayg==" workbookSpinCount="100000" lockStructure="1"/>
  <bookViews>
    <workbookView xWindow="-120" yWindow="-120" windowWidth="20730" windowHeight="11040" xr2:uid="{C3578562-12EE-4D20-8956-809618BDC0F1}"/>
  </bookViews>
  <sheets>
    <sheet name="مدیریت" sheetId="10" r:id="rId1"/>
    <sheet name="واریزی‌ها" sheetId="8" r:id="rId2"/>
    <sheet name="هزینه‌ها" sheetId="5" r:id="rId3"/>
    <sheet name="آب‌بها" sheetId="4" r:id="rId4"/>
    <sheet name="عملکرد سالانه" sheetId="9" r:id="rId5"/>
    <sheet name="مشخصات واحدها" sheetId="2" r:id="rId6"/>
    <sheet name="پارامترها" sheetId="3" state="hidden" r:id="rId7"/>
    <sheet name="درباره‌ی ما" sheetId="11"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2" l="1"/>
  <c r="G6" i="4" l="1"/>
  <c r="D6" i="4" l="1"/>
  <c r="I14" i="4" s="1"/>
  <c r="I15" i="4" l="1"/>
  <c r="I13" i="4"/>
  <c r="N6" i="4" l="1"/>
  <c r="B14" i="4" l="1"/>
  <c r="B15" i="4"/>
  <c r="B13" i="4"/>
  <c r="B7" i="8"/>
  <c r="B8" i="8"/>
  <c r="B9" i="8"/>
  <c r="B10" i="8"/>
  <c r="B11" i="8"/>
  <c r="B12" i="8"/>
  <c r="B13" i="8"/>
  <c r="B14" i="8"/>
  <c r="B15" i="8"/>
  <c r="B16" i="8"/>
  <c r="B17" i="8"/>
  <c r="B18" i="8"/>
  <c r="B19" i="8"/>
  <c r="B20" i="8"/>
  <c r="B21" i="8"/>
  <c r="B22" i="8"/>
  <c r="B23" i="8"/>
  <c r="B24" i="8"/>
  <c r="B25" i="8"/>
  <c r="B6" i="8"/>
  <c r="B7" i="5"/>
  <c r="B8" i="5"/>
  <c r="B9" i="5"/>
  <c r="B10" i="5"/>
  <c r="B11" i="5"/>
  <c r="B12" i="5"/>
  <c r="B13" i="5"/>
  <c r="B14" i="5"/>
  <c r="B15" i="5"/>
  <c r="B16" i="5"/>
  <c r="B17" i="5"/>
  <c r="B18" i="5"/>
  <c r="B19" i="5"/>
  <c r="B20" i="5"/>
  <c r="B21" i="5"/>
  <c r="B22" i="5"/>
  <c r="B23" i="5"/>
  <c r="B24" i="5"/>
  <c r="B25" i="5"/>
  <c r="B6" i="5"/>
  <c r="H14" i="4"/>
  <c r="H13" i="4"/>
  <c r="H15" i="4"/>
  <c r="E35" i="9" l="1"/>
  <c r="E26" i="9"/>
  <c r="D13" i="10"/>
  <c r="D14" i="10"/>
  <c r="D12" i="10"/>
  <c r="C13" i="10"/>
  <c r="C14" i="10"/>
  <c r="C12" i="10"/>
  <c r="L15" i="10" l="1"/>
  <c r="J13" i="10"/>
  <c r="J14" i="10"/>
  <c r="J12" i="10"/>
  <c r="F13" i="10"/>
  <c r="F14" i="10"/>
  <c r="F12" i="10"/>
  <c r="G7" i="10"/>
  <c r="A4" i="2"/>
  <c r="E31" i="9"/>
  <c r="E38" i="9"/>
  <c r="E37" i="9"/>
  <c r="E36" i="9"/>
  <c r="E34" i="9"/>
  <c r="E33" i="9"/>
  <c r="E32" i="9"/>
  <c r="E24" i="9"/>
  <c r="E5" i="9"/>
  <c r="E27" i="9"/>
  <c r="E25" i="9"/>
  <c r="D16" i="9"/>
  <c r="K9" i="8"/>
  <c r="K9" i="5"/>
  <c r="E16" i="9"/>
  <c r="E15" i="9"/>
  <c r="E14" i="9"/>
  <c r="E13" i="9"/>
  <c r="E12" i="9"/>
  <c r="E11" i="9"/>
  <c r="E10" i="9"/>
  <c r="E9" i="9"/>
  <c r="E8" i="9"/>
  <c r="E7" i="9"/>
  <c r="E6" i="9"/>
  <c r="D15" i="9"/>
  <c r="D14" i="9"/>
  <c r="D13" i="9"/>
  <c r="D12" i="9"/>
  <c r="D11" i="9"/>
  <c r="D10" i="9"/>
  <c r="D9" i="9"/>
  <c r="D8" i="9"/>
  <c r="D7" i="9"/>
  <c r="D6" i="9"/>
  <c r="D5" i="9"/>
  <c r="E26" i="8"/>
  <c r="J4" i="8"/>
  <c r="E26" i="5"/>
  <c r="J4" i="5"/>
  <c r="F7" i="10" l="1"/>
  <c r="G19" i="10"/>
  <c r="K19" i="10"/>
  <c r="K15" i="10"/>
  <c r="F9" i="9"/>
  <c r="F15" i="9"/>
  <c r="K17" i="10"/>
  <c r="F7" i="9"/>
  <c r="G15" i="10"/>
  <c r="G17" i="10"/>
  <c r="F11" i="9"/>
  <c r="F13" i="9"/>
  <c r="E39" i="9"/>
  <c r="F5" i="9"/>
  <c r="F8" i="9"/>
  <c r="F10" i="9"/>
  <c r="F12" i="9"/>
  <c r="F14" i="9"/>
  <c r="F16" i="9"/>
  <c r="E28" i="9"/>
  <c r="F6" i="9"/>
  <c r="E17" i="9"/>
  <c r="D17" i="9"/>
  <c r="AA15" i="4"/>
  <c r="D15" i="4"/>
  <c r="C15" i="4"/>
  <c r="AA14" i="4"/>
  <c r="D14" i="4"/>
  <c r="C14" i="4"/>
  <c r="AA13" i="4"/>
  <c r="D13" i="4"/>
  <c r="C13" i="4"/>
  <c r="I16" i="4" l="1"/>
  <c r="AA16" i="4"/>
  <c r="H16" i="4"/>
  <c r="F17" i="9"/>
  <c r="A2" i="2"/>
  <c r="J14" i="4" l="1"/>
  <c r="K14" i="4" s="1"/>
  <c r="J15" i="4"/>
  <c r="K15" i="4" s="1"/>
  <c r="L14" i="4"/>
  <c r="M14" i="4" s="1"/>
  <c r="N14" i="4" s="1"/>
  <c r="J13" i="4"/>
  <c r="K13" i="4" s="1"/>
  <c r="L15" i="4"/>
  <c r="L13" i="4"/>
  <c r="M13" i="4" s="1"/>
  <c r="N13" i="4" s="1"/>
  <c r="M15" i="4" l="1"/>
  <c r="N15" i="4" s="1"/>
  <c r="H14" i="10" s="1"/>
  <c r="M14" i="10" s="1"/>
  <c r="H13" i="10"/>
  <c r="M13" i="10" s="1"/>
  <c r="L16" i="4"/>
  <c r="J16" i="4"/>
  <c r="I15" i="10"/>
  <c r="K16" i="4" l="1"/>
  <c r="M16" i="4" l="1"/>
  <c r="N16" i="4" l="1"/>
  <c r="H12" i="10"/>
  <c r="M12" i="10" s="1"/>
  <c r="I19" i="10" l="1"/>
  <c r="I17" i="10"/>
  <c r="M15" i="10" l="1"/>
  <c r="J7" i="10" s="1"/>
  <c r="M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M5" authorId="0" shapeId="0" xr:uid="{5F081F6A-0CA7-44C8-A3DA-235F2DDBFD3C}">
      <text>
        <r>
          <rPr>
            <b/>
            <sz val="9"/>
            <color indexed="81"/>
            <rFont val="Tahoma"/>
            <charset val="178"/>
          </rPr>
          <t>مبلغ حق ورودی هر واحد، همان مبلغی است که در زمان آغاز سکونت به عنوان ورودی از واحدها اخذ می‌گردد.</t>
        </r>
      </text>
    </comment>
    <comment ref="E12" authorId="0" shapeId="0" xr:uid="{6F52E067-082B-44EE-A741-B0722C0AA995}">
      <text>
        <r>
          <rPr>
            <b/>
            <sz val="9"/>
            <color indexed="81"/>
            <rFont val="Tahoma"/>
            <charset val="178"/>
          </rPr>
          <t>در این قسمت، تعداد روزهای خالی از سکنه بودن واحد در ماه جاری را وارد نمایید تا شارژ واحد بر اساس مقادیر شارژ واحدهای ساکن و خالی از سکنه، بصورت ترکیبی محاسبه گردد.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C6" authorId="0" shapeId="0" xr:uid="{D20A53FC-0504-4CED-842A-FC9D360B6417}">
      <text>
        <r>
          <rPr>
            <b/>
            <sz val="9"/>
            <color indexed="81"/>
            <rFont val="Tahoma"/>
            <charset val="178"/>
          </rPr>
          <t>تاریخ مد نظر را به شمسی وارد نمایید؛ مانند: 1400/01/01</t>
        </r>
      </text>
    </comment>
    <comment ref="D6" authorId="0" shapeId="0" xr:uid="{B4198540-EE19-4A96-9B09-334A444BC4B5}">
      <text>
        <r>
          <rPr>
            <b/>
            <sz val="9"/>
            <color indexed="81"/>
            <rFont val="Tahoma"/>
            <charset val="178"/>
          </rPr>
          <t>یکی از دسته‌بندی‌های لیست را به عنوان شرح واریز انتخاب نمایید.</t>
        </r>
      </text>
    </comment>
    <comment ref="K7" authorId="0" shapeId="0" xr:uid="{FF4735F5-8777-4DBA-ABF6-EE25BAC62355}">
      <text>
        <r>
          <rPr>
            <b/>
            <sz val="9"/>
            <color indexed="81"/>
            <rFont val="Tahoma"/>
            <charset val="178"/>
          </rPr>
          <t>بخشی که نیاز به محاسبه‌ی بازه‌ی تاریخی از آن دارید را از لیست انتخاب نمایید.</t>
        </r>
      </text>
    </comment>
    <comment ref="I9" authorId="0" shapeId="0" xr:uid="{F67B202B-C9ED-45BD-B6E8-61DB6E2E911A}">
      <text>
        <r>
          <rPr>
            <b/>
            <sz val="9"/>
            <color indexed="81"/>
            <rFont val="Tahoma"/>
            <charset val="178"/>
          </rPr>
          <t>تاریخ شروع محاسبه را به شمسی وارد نمایید؛ مانند: 1400/01/01</t>
        </r>
      </text>
    </comment>
    <comment ref="I10" authorId="0" shapeId="0" xr:uid="{0ED3FE63-C80D-473F-B1BC-F440A731C999}">
      <text>
        <r>
          <rPr>
            <b/>
            <sz val="9"/>
            <color indexed="81"/>
            <rFont val="Tahoma"/>
            <charset val="178"/>
          </rPr>
          <t>تاریخ پایان محاسبه را به شمسی وارد نمایید؛ مانند: 1400/02/01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C6" authorId="0" shapeId="0" xr:uid="{B7E8F19A-20BD-441A-B20A-93D4442D1171}">
      <text>
        <r>
          <rPr>
            <b/>
            <sz val="9"/>
            <color indexed="81"/>
            <rFont val="Tahoma"/>
            <charset val="178"/>
          </rPr>
          <t>تاریخ مد نظر را به شمسی وارد نمایید؛ مانند: 1400/01/01</t>
        </r>
      </text>
    </comment>
    <comment ref="D6" authorId="0" shapeId="0" xr:uid="{FF9BC1BE-364D-402D-8AB0-ED24A44E6D7F}">
      <text>
        <r>
          <rPr>
            <b/>
            <sz val="9"/>
            <color indexed="81"/>
            <rFont val="Tahoma"/>
            <charset val="178"/>
          </rPr>
          <t>یکی از دسته‌بندی‌های لیست را به عنوان شرح واریز انتخاب نمایید.</t>
        </r>
      </text>
    </comment>
    <comment ref="K7" authorId="0" shapeId="0" xr:uid="{05BC4B5A-C593-4AA0-B938-BF753906A971}">
      <text>
        <r>
          <rPr>
            <b/>
            <sz val="9"/>
            <color indexed="81"/>
            <rFont val="Tahoma"/>
            <charset val="178"/>
          </rPr>
          <t>بخشی که نیاز به محاسبه‌ی بازه‌ی تاریخی از آن دارید را از لیست انتخاب نمایید.</t>
        </r>
      </text>
    </comment>
    <comment ref="I9" authorId="0" shapeId="0" xr:uid="{66CE7EA3-5301-4912-905E-3D3B13217A4C}">
      <text>
        <r>
          <rPr>
            <b/>
            <sz val="9"/>
            <color indexed="81"/>
            <rFont val="Tahoma"/>
            <charset val="178"/>
          </rPr>
          <t>تاریخ شروع محاسبه را به شمسی وارد نمایید؛ مانند: 1400/01/01</t>
        </r>
      </text>
    </comment>
    <comment ref="I10" authorId="0" shapeId="0" xr:uid="{030E095B-FE68-49F9-BB7D-78D554A8A68A}">
      <text>
        <r>
          <rPr>
            <b/>
            <sz val="9"/>
            <color indexed="81"/>
            <rFont val="Tahoma"/>
            <charset val="178"/>
          </rPr>
          <t>تاریخ پایان محاسبه را به شمسی وارد نمایید؛ مانند: 1400/02/01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B6" authorId="0" shapeId="0" xr:uid="{1C2ED362-9DC5-4DA2-8710-1B01F33C7952}">
      <text>
        <r>
          <rPr>
            <b/>
            <sz val="9"/>
            <color indexed="81"/>
            <rFont val="Tahoma"/>
            <charset val="178"/>
          </rPr>
          <t>در این قسمت، «تاریخ قرائت پیشین» مندرج در قبض آب را به شمسی وارد نمایید؛ مانند: 1400/01/01</t>
        </r>
      </text>
    </comment>
    <comment ref="C6" authorId="0" shapeId="0" xr:uid="{443BD654-D952-4ED5-85DF-22E65F26980C}">
      <text>
        <r>
          <rPr>
            <b/>
            <sz val="9"/>
            <color indexed="81"/>
            <rFont val="Tahoma"/>
            <charset val="178"/>
          </rPr>
          <t>در این قسمت، «تاریخ قرائت کنونی» مندرج در قبض آب را به شمسی وارد نمایید؛ مانند: 1400/03/01</t>
        </r>
      </text>
    </comment>
    <comment ref="E6" authorId="0" shapeId="0" xr:uid="{18CDA50B-2231-48E8-B177-D3C739F8143A}">
      <text>
        <r>
          <rPr>
            <b/>
            <sz val="9"/>
            <color indexed="81"/>
            <rFont val="Tahoma"/>
            <charset val="178"/>
          </rPr>
          <t>در این قسمت، «شماره کنتور پیشین» مندرج در قبض آب را وارد نمایید.</t>
        </r>
      </text>
    </comment>
    <comment ref="F6" authorId="0" shapeId="0" xr:uid="{3535E8E7-088C-416D-9393-D99C518C7AFF}">
      <text>
        <r>
          <rPr>
            <b/>
            <sz val="9"/>
            <color indexed="81"/>
            <rFont val="Tahoma"/>
            <charset val="178"/>
          </rPr>
          <t>در این قسمت، «شماره کنتور کنونی» مندرج در قبض آب را وارد نمایید.</t>
        </r>
      </text>
    </comment>
    <comment ref="H6" authorId="0" shapeId="0" xr:uid="{CD779CA6-210D-48E5-B0FB-6E6CB552319D}">
      <text>
        <r>
          <rPr>
            <b/>
            <sz val="9"/>
            <color indexed="81"/>
            <rFont val="Tahoma"/>
            <charset val="178"/>
          </rPr>
          <t>در این قسمت، «تعداد انشعابات ثبت شده» مندرج در قبض آب را وارد نمایید.</t>
        </r>
      </text>
    </comment>
    <comment ref="D8" authorId="0" shapeId="0" xr:uid="{15441FE0-01D4-4136-8ED8-DF2B818CC203}">
      <text>
        <r>
          <rPr>
            <b/>
            <sz val="9"/>
            <color indexed="81"/>
            <rFont val="Tahoma"/>
            <charset val="178"/>
          </rPr>
          <t>در این قسمت، «سقف حجم کم‌مصرفی» (حجمی که به ازای مصرف ماهانه تا سقف آن، مبلغ آب رایگان محاسبه می‌گردد و "طرح امید" نیز نامیده می‌شود.)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H8" authorId="0" shapeId="0" xr:uid="{183966D8-BC3D-4084-AA9C-B3579C83FE90}">
      <text>
        <r>
          <rPr>
            <b/>
            <sz val="9"/>
            <color indexed="81"/>
            <rFont val="Tahoma"/>
            <charset val="178"/>
          </rPr>
          <t>در این قسمت، «حجم الگوی مصرف» (حجمی که به ازای مصرف ماهانه تا سقف آن، مبلغ آب به صورت عادی محاسبه می‌گردد)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K8" authorId="0" shapeId="0" xr:uid="{4385C2BD-5FEB-4E1A-AE73-C48C34CF753F}">
      <text>
        <r>
          <rPr>
            <b/>
            <sz val="9"/>
            <color indexed="81"/>
            <rFont val="Tahoma"/>
            <charset val="178"/>
          </rPr>
          <t>در این قسمت، «سقف حجم پرمصرفی» (حجمی که به ازای مصرف ماهانه‌ی بیش از حجم الگوی مصرف و تا سقف آن، مبلغ آب به صورت جریمه‌دار محاسبه می‌گردد) مندرج در «قبض آب» را وارد نمایید. (لازم به ذکر است که این حجم، کف حجم «بدمصرفی» نیز محسوب می‌شود.)</t>
        </r>
      </text>
    </comment>
    <comment ref="N8" authorId="0" shapeId="0" xr:uid="{54991334-E394-4FA5-93B1-2585A2A39DEC}">
      <text>
        <r>
          <rPr>
            <b/>
            <sz val="9"/>
            <color indexed="81"/>
            <rFont val="Tahoma"/>
            <charset val="178"/>
          </rPr>
          <t>در این قسمت، «مبلغ آبونمان بابت آب‌بها»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D9" authorId="0" shapeId="0" xr:uid="{FED844D1-69E9-4BA3-B0B8-82FA545FEA1D}">
      <text>
        <r>
          <rPr>
            <b/>
            <sz val="9"/>
            <color indexed="81"/>
            <rFont val="Tahoma"/>
            <charset val="178"/>
          </rPr>
          <t>در این قسمت، «ضریب کم مصرفی» (که علی‌القاعده، باید صفر باشد؛ ولی در هر صورت، نباید بیشتر از «ضریب خوش‌مصرفی» درج شود) را وارد نمایید.</t>
        </r>
      </text>
    </comment>
    <comment ref="H9" authorId="0" shapeId="0" xr:uid="{97C26785-A758-4B57-814F-9C605A959949}">
      <text>
        <r>
          <rPr>
            <b/>
            <sz val="9"/>
            <color indexed="81"/>
            <rFont val="Tahoma"/>
            <charset val="178"/>
          </rPr>
          <t>در این قسمت، «ضریب خوش‌مصرفی» را وارد نمایید. (این ضریب، صرفاً برای محاسبه‌ی مصارف در محدوده‌ی کم مصرفی و یا پرمصرفی است و در محاسبه‌ی مصارف در محدوده‌ی خوش‌مصرفی کاربردی ندارد؛ لذا توصیه می‌شود این ضریب را 1 قرار دهید؛ البته استفاده از ضرایب دیگر نیز اشکالی در محاسبات ایجاد نخواهد کرد.)</t>
        </r>
      </text>
    </comment>
    <comment ref="N9" authorId="0" shapeId="0" xr:uid="{ACF8B059-EE8C-42E8-BF7E-177E10B53D81}">
      <text>
        <r>
          <rPr>
            <b/>
            <sz val="9"/>
            <color indexed="81"/>
            <rFont val="Tahoma"/>
            <charset val="178"/>
          </rPr>
          <t>در این قسمت، «مبلغ آبونمان بابت دفع فاضلاب» مندرج در «تعرفه‌ی سالانه‌ی آب» را وارد نمایید. (این تعرفه، در سراسر ایران یکسان است و هر ساله پس از تصویب هیأت وزیران، اطلاع‌رسانی عمومی می‌شود که می‌توانید آن را در سایت آبفای استان خود نیز جستجو کنید.)</t>
        </r>
      </text>
    </comment>
    <comment ref="E13" authorId="0" shapeId="0" xr:uid="{3FFB8ED3-F687-43C9-A226-7C8796278FAD}">
      <text>
        <r>
          <rPr>
            <b/>
            <sz val="9"/>
            <color indexed="81"/>
            <rFont val="Tahoma"/>
            <charset val="178"/>
          </rPr>
          <t>در این قسمت، ضریب خطای کنتور واحد را وارد نمایید تا در صورت خراب بودن کنتور، میزان مصرف آب واحد بصورت دقیق محاسبه شود.
بدین منظور، باید ظرفی با حجم 1 لیتر را توسط روشویی واحد مد نظر پر از آب کنید و ببینید کنتور واحد به چه میزان تغییر می‌کند؛ سپس عدد مصرفی کنتور را به عنوان ضریب خطای کنتور در این قسمت درج نمایید. (دقت فرمایید، اگر حجم ظرف بیشتر یا کمتر از 1 لیتر بود، باید عدد مصرفی کنتور واحد تقسیم بر حجم ظرف مذکور گردد و سپس حاصل تقسیم در این محل درج شود.)</t>
        </r>
      </text>
    </comment>
    <comment ref="F13" authorId="0" shapeId="0" xr:uid="{28219EDA-0206-4EF4-9489-19930F6E3C49}">
      <text>
        <r>
          <rPr>
            <b/>
            <sz val="9"/>
            <color indexed="81"/>
            <rFont val="Tahoma"/>
            <charset val="178"/>
          </rPr>
          <t>در این قسمت، «تاریخ قرائت پیشین کنتور واحد» را به شمسی وارد نمایید؛ مانند: 1400/01/01</t>
        </r>
      </text>
    </comment>
    <comment ref="G13" authorId="0" shapeId="0" xr:uid="{011B49AC-9757-4E1F-8E54-F2C1A61DDD22}">
      <text>
        <r>
          <rPr>
            <b/>
            <sz val="9"/>
            <color indexed="81"/>
            <rFont val="Tahoma"/>
            <charset val="178"/>
          </rPr>
          <t>در این قسمت، «تاریخ قرائت کنونی کنتور واحد» را به شمسی وارد نمایید؛ مانند: 1400/03/01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RayaPardazesh</author>
  </authors>
  <commentList>
    <comment ref="L4" authorId="0" shapeId="0" xr:uid="{2E677B57-96F3-40C1-8521-D837E7EF13BF}">
      <text>
        <r>
          <rPr>
            <b/>
            <sz val="9"/>
            <color indexed="81"/>
            <rFont val="Tahoma"/>
            <charset val="178"/>
          </rPr>
          <t>از این قسمت، سال مالی مد نظر خود را انتخاب نمایید.</t>
        </r>
      </text>
    </comment>
  </commentList>
</comments>
</file>

<file path=xl/sharedStrings.xml><?xml version="1.0" encoding="utf-8"?>
<sst xmlns="http://schemas.openxmlformats.org/spreadsheetml/2006/main" count="317" uniqueCount="159">
  <si>
    <t>ردیف</t>
  </si>
  <si>
    <t>طبقه</t>
  </si>
  <si>
    <t>واحد</t>
  </si>
  <si>
    <t>متراژ</t>
  </si>
  <si>
    <t>وضعیت واحد</t>
  </si>
  <si>
    <t>نام مالک</t>
  </si>
  <si>
    <t>شماره تلفن ثابت مالک</t>
  </si>
  <si>
    <t>شماره تلفن همراه اصلی مالک</t>
  </si>
  <si>
    <t>شماره تلفن همراه دوم مالک</t>
  </si>
  <si>
    <t>نام مستأجر</t>
  </si>
  <si>
    <t>شماره تلفن ثابت مستأجر</t>
  </si>
  <si>
    <t>شماره تلفن همراه اصلی مستأجر</t>
  </si>
  <si>
    <t>شماره تلفن همراه دوم مستأجر</t>
  </si>
  <si>
    <t>وضعیت پارکینگ</t>
  </si>
  <si>
    <t>سایر توضیحات</t>
  </si>
  <si>
    <t>کد پستی</t>
  </si>
  <si>
    <t>اوّل</t>
  </si>
  <si>
    <t>خالی</t>
  </si>
  <si>
    <t>دارد</t>
  </si>
  <si>
    <t>ندارد</t>
  </si>
  <si>
    <t>تاریخ قرائت</t>
  </si>
  <si>
    <t>تعداد روز</t>
  </si>
  <si>
    <t>کارمزد دفع فاضلاب</t>
  </si>
  <si>
    <t>شماره کنتور واحد</t>
  </si>
  <si>
    <r>
      <t xml:space="preserve">میزان مصرف </t>
    </r>
    <r>
      <rPr>
        <sz val="8"/>
        <color theme="1"/>
        <rFont val="B Titr"/>
        <charset val="178"/>
      </rPr>
      <t>(متر مکعب)</t>
    </r>
  </si>
  <si>
    <t>پیشین</t>
  </si>
  <si>
    <t>کنونی</t>
  </si>
  <si>
    <t>آب بها</t>
  </si>
  <si>
    <t>مالیات و عوارض</t>
  </si>
  <si>
    <t>قانون بودجه</t>
  </si>
  <si>
    <t>تخفیف</t>
  </si>
  <si>
    <r>
      <t xml:space="preserve">مجموع آب‌بهای واحد </t>
    </r>
    <r>
      <rPr>
        <sz val="8"/>
        <color theme="1"/>
        <rFont val="B Titr"/>
        <charset val="178"/>
      </rPr>
      <t>(ریال)</t>
    </r>
  </si>
  <si>
    <r>
      <t xml:space="preserve">مبلغ آب‌بهای مصرفی مشاع </t>
    </r>
    <r>
      <rPr>
        <sz val="8"/>
        <color theme="1"/>
        <rFont val="B Titr"/>
        <charset val="178"/>
      </rPr>
      <t>(ریال)</t>
    </r>
  </si>
  <si>
    <r>
      <t xml:space="preserve">مجموع آب‌بهای ثابت </t>
    </r>
    <r>
      <rPr>
        <sz val="8"/>
        <color theme="1"/>
        <rFont val="B Titr"/>
        <charset val="178"/>
      </rPr>
      <t>(ریال)</t>
    </r>
  </si>
  <si>
    <r>
      <t xml:space="preserve">مبلغ قابل پرداخت واحد </t>
    </r>
    <r>
      <rPr>
        <sz val="8"/>
        <color theme="1"/>
        <rFont val="B Titr"/>
        <charset val="178"/>
      </rPr>
      <t>(ریال)</t>
    </r>
  </si>
  <si>
    <t>-</t>
  </si>
  <si>
    <t>وضعیت پرداخت</t>
  </si>
  <si>
    <t>پرداخت شده</t>
  </si>
  <si>
    <t>پرداخت نشده</t>
  </si>
  <si>
    <t>از تاریخ :</t>
  </si>
  <si>
    <t>تا تاریخ :</t>
  </si>
  <si>
    <t>ریال</t>
  </si>
  <si>
    <t>ریـــال</t>
  </si>
  <si>
    <t>ردیــف</t>
  </si>
  <si>
    <t>تـــاریــــخ</t>
  </si>
  <si>
    <t>تـــوضـــیـــحـــات</t>
  </si>
  <si>
    <t>جـــــمـــــع کـــــــل :</t>
  </si>
  <si>
    <t>ریـــــال</t>
  </si>
  <si>
    <r>
      <t xml:space="preserve">مبلغ هزینه شده </t>
    </r>
    <r>
      <rPr>
        <sz val="9"/>
        <color rgb="FFFFFF00"/>
        <rFont val="B Titr"/>
        <charset val="178"/>
      </rPr>
      <t>(ریال)</t>
    </r>
  </si>
  <si>
    <r>
      <t xml:space="preserve">جمع کل مبالغ هزینه شده </t>
    </r>
    <r>
      <rPr>
        <sz val="10"/>
        <color rgb="FFFF0000"/>
        <rFont val="B Titr"/>
        <charset val="178"/>
      </rPr>
      <t>(ریال)</t>
    </r>
  </si>
  <si>
    <t>شــــرح واریـــز</t>
  </si>
  <si>
    <r>
      <t xml:space="preserve">مبلغ واریز شده </t>
    </r>
    <r>
      <rPr>
        <sz val="9"/>
        <color rgb="FFFFFF00"/>
        <rFont val="B Titr"/>
        <charset val="178"/>
      </rPr>
      <t>(ریال)</t>
    </r>
  </si>
  <si>
    <r>
      <t xml:space="preserve">جمع کل مبالغ واریز شده </t>
    </r>
    <r>
      <rPr>
        <sz val="10"/>
        <color rgb="FFFF0000"/>
        <rFont val="B Titr"/>
        <charset val="178"/>
      </rPr>
      <t>(ریال)</t>
    </r>
  </si>
  <si>
    <t>فروردین</t>
  </si>
  <si>
    <t>اردیبهشت</t>
  </si>
  <si>
    <t>خرداد</t>
  </si>
  <si>
    <t>تیر</t>
  </si>
  <si>
    <t>مرداد</t>
  </si>
  <si>
    <t>شهریور</t>
  </si>
  <si>
    <t>مهر</t>
  </si>
  <si>
    <t>آبان</t>
  </si>
  <si>
    <t>آذر</t>
  </si>
  <si>
    <t>دی</t>
  </si>
  <si>
    <t>بهمن</t>
  </si>
  <si>
    <t>اسفند</t>
  </si>
  <si>
    <r>
      <t xml:space="preserve">مجموع کل واریزی‌ها </t>
    </r>
    <r>
      <rPr>
        <sz val="9"/>
        <color theme="5"/>
        <rFont val="B Titr"/>
        <charset val="178"/>
      </rPr>
      <t>(ریال)</t>
    </r>
  </si>
  <si>
    <r>
      <t xml:space="preserve">مجموع کل هزینه‌ها </t>
    </r>
    <r>
      <rPr>
        <sz val="9"/>
        <color theme="5"/>
        <rFont val="B Titr"/>
        <charset val="178"/>
      </rPr>
      <t>(ریال)</t>
    </r>
  </si>
  <si>
    <r>
      <t xml:space="preserve">برآیند کل ماهانه </t>
    </r>
    <r>
      <rPr>
        <sz val="9"/>
        <color theme="5"/>
        <rFont val="B Titr"/>
        <charset val="178"/>
      </rPr>
      <t>(ریال)</t>
    </r>
  </si>
  <si>
    <t>جـمـع کــل :</t>
  </si>
  <si>
    <t>نــام بــرج</t>
  </si>
  <si>
    <t>ســـال مـــالـــی :</t>
  </si>
  <si>
    <t>شرح واریز</t>
  </si>
  <si>
    <t>شرح هزینه</t>
  </si>
  <si>
    <t>شارژ ماهانه</t>
  </si>
  <si>
    <t>سهم قبض آب</t>
  </si>
  <si>
    <t>قبض آب</t>
  </si>
  <si>
    <t>نظافت مجتمع</t>
  </si>
  <si>
    <t>قبض برق</t>
  </si>
  <si>
    <t>اقلام مصرفی</t>
  </si>
  <si>
    <t>تعمیرات مجتمع</t>
  </si>
  <si>
    <t>بیمه مجتمع</t>
  </si>
  <si>
    <t>واریزی متفرقه</t>
  </si>
  <si>
    <t>هزینه‌ی متفرقه</t>
  </si>
  <si>
    <t>کلیه‌ی واریزی‌ها</t>
  </si>
  <si>
    <t>کلیه‌ی هزینه‌ها</t>
  </si>
  <si>
    <t>مجموع واریزی‌های بازه‌ای بابت :</t>
  </si>
  <si>
    <t>مجموع هزینه‌های بازه‌ای بابت :</t>
  </si>
  <si>
    <t>شــــرح هـزیـنـه</t>
  </si>
  <si>
    <t>واریزی‌ها</t>
  </si>
  <si>
    <t>شـــــــرح واریـــــــز</t>
  </si>
  <si>
    <t>شـــــــرح هزیــــنــــه</t>
  </si>
  <si>
    <t>واریزی‌های متفرقه</t>
  </si>
  <si>
    <t>هزینه‌های متفرقه</t>
  </si>
  <si>
    <t>ماه‌های سال</t>
  </si>
  <si>
    <t>سال مالی</t>
  </si>
  <si>
    <t>:</t>
  </si>
  <si>
    <t xml:space="preserve">محاسبات مالی مربوط به </t>
  </si>
  <si>
    <t>وضعیت پرداخت شارژ ماهیانه</t>
  </si>
  <si>
    <t>وضعیت پرداخت سهم قبض آب</t>
  </si>
  <si>
    <r>
      <t xml:space="preserve">مبلغ شارژ ماهیانه </t>
    </r>
    <r>
      <rPr>
        <sz val="8"/>
        <color theme="1"/>
        <rFont val="B Titr"/>
        <charset val="178"/>
      </rPr>
      <t>(ریال)</t>
    </r>
  </si>
  <si>
    <r>
      <t xml:space="preserve">سهم قبض آب واحد </t>
    </r>
    <r>
      <rPr>
        <sz val="8"/>
        <color theme="1"/>
        <rFont val="B Titr"/>
        <charset val="178"/>
      </rPr>
      <t>(ریال)</t>
    </r>
  </si>
  <si>
    <r>
      <t xml:space="preserve">بدهی معوقه </t>
    </r>
    <r>
      <rPr>
        <sz val="8"/>
        <color theme="1"/>
        <rFont val="B Titr"/>
        <charset val="178"/>
      </rPr>
      <t>(ریال)</t>
    </r>
  </si>
  <si>
    <t>تعداد واحدهای بدهکار :</t>
  </si>
  <si>
    <t>اطــلاعــات مــالــی پــیــش‌فــرض</t>
  </si>
  <si>
    <r>
      <t xml:space="preserve">موجودی صندوق مجتمع </t>
    </r>
    <r>
      <rPr>
        <b/>
        <sz val="12"/>
        <color theme="0"/>
        <rFont val="B Titr"/>
        <charset val="178"/>
      </rPr>
      <t>(ریال)</t>
    </r>
    <r>
      <rPr>
        <b/>
        <sz val="16"/>
        <color theme="0"/>
        <rFont val="B Titr"/>
        <charset val="178"/>
      </rPr>
      <t xml:space="preserve"> :</t>
    </r>
  </si>
  <si>
    <r>
      <t xml:space="preserve">مجموع بدهی‌های واحد </t>
    </r>
    <r>
      <rPr>
        <sz val="8"/>
        <color theme="1"/>
        <rFont val="B Titr"/>
        <charset val="178"/>
      </rPr>
      <t>(ریال)</t>
    </r>
  </si>
  <si>
    <t>پرداخت شده :</t>
  </si>
  <si>
    <t>پرداخت نشده :</t>
  </si>
  <si>
    <t>جـــمـــع کـــــل :</t>
  </si>
  <si>
    <t>دوم</t>
  </si>
  <si>
    <t>سوم</t>
  </si>
  <si>
    <t>چهارم</t>
  </si>
  <si>
    <t>پنجم</t>
  </si>
  <si>
    <t>ساکن (مالک)</t>
  </si>
  <si>
    <t>ساکن (مستأجر)</t>
  </si>
  <si>
    <t>سرویس آسانسور</t>
  </si>
  <si>
    <t>حق ورودی</t>
  </si>
  <si>
    <t>هـزیـنـه‌ها</t>
  </si>
  <si>
    <r>
      <t xml:space="preserve">مبلغ حق ورودی هر واحد </t>
    </r>
    <r>
      <rPr>
        <sz val="8"/>
        <color theme="1"/>
        <rFont val="B Titr"/>
        <charset val="178"/>
      </rPr>
      <t>(ریال)</t>
    </r>
    <r>
      <rPr>
        <sz val="11"/>
        <color theme="1"/>
        <rFont val="B Titr"/>
        <charset val="178"/>
      </rPr>
      <t xml:space="preserve"> :</t>
    </r>
  </si>
  <si>
    <r>
      <t xml:space="preserve">مبلغ حق ورودی واحد </t>
    </r>
    <r>
      <rPr>
        <sz val="8"/>
        <color theme="1"/>
        <rFont val="B Titr"/>
        <charset val="178"/>
      </rPr>
      <t>(ریال)</t>
    </r>
  </si>
  <si>
    <t>وضعیت پرداخت حق ورودی</t>
  </si>
  <si>
    <r>
      <t xml:space="preserve">میزان مصرف واحد </t>
    </r>
    <r>
      <rPr>
        <sz val="8"/>
        <color theme="1"/>
        <rFont val="B Titr"/>
        <charset val="178"/>
      </rPr>
      <t>(لیتر)</t>
    </r>
  </si>
  <si>
    <r>
      <t xml:space="preserve">سقف کم‌مصرفی </t>
    </r>
    <r>
      <rPr>
        <sz val="8"/>
        <color rgb="FF7030A0"/>
        <rFont val="B Titr"/>
        <charset val="178"/>
      </rPr>
      <t>(متر مکعب)</t>
    </r>
    <r>
      <rPr>
        <sz val="11"/>
        <color rgb="FF7030A0"/>
        <rFont val="B Titr"/>
        <charset val="178"/>
      </rPr>
      <t xml:space="preserve"> :</t>
    </r>
  </si>
  <si>
    <r>
      <t xml:space="preserve">سقف خوش‌مصرفی </t>
    </r>
    <r>
      <rPr>
        <sz val="8"/>
        <color rgb="FF7030A0"/>
        <rFont val="B Titr"/>
        <charset val="178"/>
      </rPr>
      <t>(متر مکعب)</t>
    </r>
    <r>
      <rPr>
        <sz val="11"/>
        <color rgb="FF7030A0"/>
        <rFont val="B Titr"/>
        <charset val="178"/>
      </rPr>
      <t xml:space="preserve"> :</t>
    </r>
  </si>
  <si>
    <r>
      <t xml:space="preserve">سقف پرمصرفی </t>
    </r>
    <r>
      <rPr>
        <sz val="8"/>
        <color rgb="FF7030A0"/>
        <rFont val="B Titr"/>
        <charset val="178"/>
      </rPr>
      <t>(متر مکعب)</t>
    </r>
    <r>
      <rPr>
        <sz val="11"/>
        <color rgb="FF7030A0"/>
        <rFont val="B Titr"/>
        <charset val="178"/>
      </rPr>
      <t xml:space="preserve"> :</t>
    </r>
  </si>
  <si>
    <r>
      <t xml:space="preserve">مبلغ آبونمان بابت آب‌بها </t>
    </r>
    <r>
      <rPr>
        <sz val="8"/>
        <color rgb="FF7030A0"/>
        <rFont val="B Titr"/>
        <charset val="178"/>
      </rPr>
      <t>(ریال)</t>
    </r>
    <r>
      <rPr>
        <sz val="11"/>
        <color rgb="FF7030A0"/>
        <rFont val="B Titr"/>
        <charset val="178"/>
      </rPr>
      <t xml:space="preserve"> :</t>
    </r>
  </si>
  <si>
    <r>
      <t xml:space="preserve">مبلغ آبونمان بابت دفع فاضلاب </t>
    </r>
    <r>
      <rPr>
        <sz val="8"/>
        <color rgb="FF7030A0"/>
        <rFont val="B Titr"/>
        <charset val="178"/>
      </rPr>
      <t>(ریال)</t>
    </r>
    <r>
      <rPr>
        <sz val="11"/>
        <color rgb="FF7030A0"/>
        <rFont val="B Titr"/>
        <charset val="178"/>
      </rPr>
      <t xml:space="preserve"> :</t>
    </r>
  </si>
  <si>
    <t>مــجــمــوع کــــــل :</t>
  </si>
  <si>
    <r>
      <t xml:space="preserve">مبلغ شارژ ماهانه‌ی واحدهای ساکن </t>
    </r>
    <r>
      <rPr>
        <b/>
        <sz val="8"/>
        <color theme="1"/>
        <rFont val="B Titr"/>
        <charset val="178"/>
      </rPr>
      <t>(ریال)</t>
    </r>
    <r>
      <rPr>
        <b/>
        <sz val="11"/>
        <color theme="1"/>
        <rFont val="B Titr"/>
        <charset val="178"/>
      </rPr>
      <t xml:space="preserve"> :</t>
    </r>
  </si>
  <si>
    <t>مـجـمــوع :</t>
  </si>
  <si>
    <t xml:space="preserve">ضریب خطای کنتور </t>
  </si>
  <si>
    <t>مدیریت تبادلات مالی ماهیانه‌ی مجتمع مسکونی</t>
  </si>
  <si>
    <t>لیست واریزی‌های مجتمع مسکونی</t>
  </si>
  <si>
    <t>لیست هزینه‌های مجتمع مسکونی</t>
  </si>
  <si>
    <r>
      <t xml:space="preserve">مبلغ قابل پرداخت </t>
    </r>
    <r>
      <rPr>
        <sz val="9"/>
        <color theme="1"/>
        <rFont val="B Titr"/>
        <charset val="178"/>
      </rPr>
      <t>(ریال)</t>
    </r>
  </si>
  <si>
    <t>شرح اقلام و مبالغ (ریال)</t>
  </si>
  <si>
    <t>تعداد انشعابات ثبت‌شده</t>
  </si>
  <si>
    <t>شماره کنتور مجتمع</t>
  </si>
  <si>
    <t>قبض آب مجتمع مسکونی</t>
  </si>
  <si>
    <t>‌ضریب کم‌مصرفی :</t>
  </si>
  <si>
    <r>
      <t>ضریب خوش‌مصرفی</t>
    </r>
    <r>
      <rPr>
        <sz val="8"/>
        <color rgb="FF7030A0"/>
        <rFont val="B Titr"/>
        <charset val="178"/>
      </rPr>
      <t xml:space="preserve"> </t>
    </r>
    <r>
      <rPr>
        <sz val="11"/>
        <color rgb="FF7030A0"/>
        <rFont val="B Titr"/>
        <charset val="178"/>
      </rPr>
      <t>:</t>
    </r>
  </si>
  <si>
    <t>ضریب پرمصرفی :</t>
  </si>
  <si>
    <t>خلاصه تبادلات مالی سالیانه‌ی مجتمع مسکونی</t>
  </si>
  <si>
    <t>جزئیات تبادلات مالی سالیانه‌ی مجتمع مسکونی</t>
  </si>
  <si>
    <t>نسخه‌ی نرم‌افزار :</t>
  </si>
  <si>
    <t>3.2.17</t>
  </si>
  <si>
    <t>شماره سریال محصول :</t>
  </si>
  <si>
    <t>ســـایـر مـحـصـولات :</t>
  </si>
  <si>
    <t xml:space="preserve">مدیریت مجتمع تجاری  </t>
  </si>
  <si>
    <t xml:space="preserve">       بصرفه‌ترین بسته‌ی اینترنت</t>
  </si>
  <si>
    <t>مدیریت انتخاب</t>
  </si>
  <si>
    <r>
      <t xml:space="preserve">مبلغ شارژ ماهانه‌ی واحدهای خالی از سکنه </t>
    </r>
    <r>
      <rPr>
        <sz val="8"/>
        <color theme="1"/>
        <rFont val="B Titr"/>
        <charset val="178"/>
      </rPr>
      <t>(ریال)</t>
    </r>
    <r>
      <rPr>
        <sz val="11"/>
        <color theme="1"/>
        <rFont val="B Titr"/>
        <charset val="178"/>
      </rPr>
      <t xml:space="preserve"> :</t>
    </r>
  </si>
  <si>
    <t>تعداد روزهای خالی از سکنه بودن واحد</t>
  </si>
  <si>
    <t>(نسخه‌ی رایگان)</t>
  </si>
  <si>
    <t>مبلغ آبونمان</t>
  </si>
  <si>
    <r>
      <t xml:space="preserve">واحد </t>
    </r>
    <r>
      <rPr>
        <sz val="8"/>
        <color theme="1"/>
        <rFont val="B Titr"/>
        <charset val="178"/>
      </rPr>
      <t>(ریال)</t>
    </r>
  </si>
  <si>
    <r>
      <t xml:space="preserve">مبلغ آب‌بهای مصرفی واحد </t>
    </r>
    <r>
      <rPr>
        <sz val="8"/>
        <color theme="1"/>
        <rFont val="B Titr"/>
        <charset val="178"/>
      </rPr>
      <t>(ریال)</t>
    </r>
  </si>
  <si>
    <t>تاریخ شروع سکونت</t>
  </si>
  <si>
    <t>تاریخ پایان سکونت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</si>
</sst>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960429]dddd\,\ d\ mmmm\ yyyy;@"/>
    <numFmt numFmtId="165" formatCode="yyyy\-mm\-dd;@"/>
    <numFmt numFmtId="166" formatCode="[$-960429]dd/mm/yyyy;@"/>
    <numFmt numFmtId="167" formatCode="[$-960429]yyyy/mm/dd;@"/>
    <numFmt numFmtId="168" formatCode="0.000"/>
  </numFmts>
  <fonts count="64" x14ac:knownFonts="1">
    <font>
      <sz val="11"/>
      <color theme="1"/>
      <name val="Calibri"/>
      <family val="2"/>
      <charset val="178"/>
      <scheme val="minor"/>
    </font>
    <font>
      <sz val="11"/>
      <color theme="1"/>
      <name val="B Titr"/>
      <charset val="178"/>
    </font>
    <font>
      <sz val="8"/>
      <color theme="1"/>
      <name val="B Titr"/>
      <charset val="178"/>
    </font>
    <font>
      <b/>
      <sz val="11"/>
      <color theme="1"/>
      <name val="B Titr"/>
      <charset val="178"/>
    </font>
    <font>
      <sz val="16"/>
      <color rgb="FFFFFF00"/>
      <name val="B Titr"/>
      <charset val="178"/>
    </font>
    <font>
      <sz val="11"/>
      <color theme="0"/>
      <name val="B Titr"/>
      <charset val="178"/>
    </font>
    <font>
      <sz val="11"/>
      <color rgb="FFFFFF00"/>
      <name val="B Titr"/>
      <charset val="178"/>
    </font>
    <font>
      <sz val="18"/>
      <color rgb="FFFF0000"/>
      <name val="B Titr"/>
      <charset val="178"/>
    </font>
    <font>
      <sz val="13"/>
      <color theme="0" tint="-0.499984740745262"/>
      <name val="B Titr"/>
      <charset val="178"/>
    </font>
    <font>
      <sz val="13"/>
      <color theme="5" tint="-0.249977111117893"/>
      <name val="B Titr"/>
      <charset val="178"/>
    </font>
    <font>
      <sz val="13"/>
      <color rgb="FFFFC000"/>
      <name val="B Titr"/>
      <charset val="178"/>
    </font>
    <font>
      <sz val="13"/>
      <color rgb="FFFF0000"/>
      <name val="B Titr"/>
      <charset val="178"/>
    </font>
    <font>
      <sz val="14"/>
      <color theme="1"/>
      <name val="B Titr"/>
      <charset val="178"/>
    </font>
    <font>
      <sz val="11"/>
      <color rgb="FF0070C0"/>
      <name val="B Titr"/>
      <charset val="178"/>
    </font>
    <font>
      <sz val="12"/>
      <color rgb="FF7030A0"/>
      <name val="B Titr"/>
      <charset val="178"/>
    </font>
    <font>
      <sz val="14"/>
      <color rgb="FF00B050"/>
      <name val="B Titr"/>
      <charset val="178"/>
    </font>
    <font>
      <sz val="12"/>
      <color theme="0"/>
      <name val="B Titr"/>
      <charset val="178"/>
    </font>
    <font>
      <sz val="12"/>
      <color rgb="FF00B050"/>
      <name val="B Titr"/>
      <charset val="178"/>
    </font>
    <font>
      <sz val="12"/>
      <color rgb="FFFFFF00"/>
      <name val="B Titr"/>
      <charset val="178"/>
    </font>
    <font>
      <sz val="9"/>
      <color rgb="FFFFFF00"/>
      <name val="B Titr"/>
      <charset val="178"/>
    </font>
    <font>
      <sz val="16"/>
      <color rgb="FFFF0000"/>
      <name val="B Titr"/>
      <charset val="178"/>
    </font>
    <font>
      <sz val="16"/>
      <color rgb="FF00B050"/>
      <name val="B Titr"/>
      <charset val="178"/>
    </font>
    <font>
      <sz val="14"/>
      <color theme="0"/>
      <name val="B Titr"/>
      <charset val="178"/>
    </font>
    <font>
      <sz val="14"/>
      <color rgb="FFFF0000"/>
      <name val="B Titr"/>
      <charset val="178"/>
    </font>
    <font>
      <sz val="10"/>
      <color rgb="FFFF0000"/>
      <name val="B Titr"/>
      <charset val="178"/>
    </font>
    <font>
      <sz val="16"/>
      <color rgb="FF7030A0"/>
      <name val="B Titr"/>
      <charset val="178"/>
    </font>
    <font>
      <sz val="12"/>
      <color theme="5"/>
      <name val="B Titr"/>
      <charset val="178"/>
    </font>
    <font>
      <sz val="9"/>
      <color theme="5"/>
      <name val="B Titr"/>
      <charset val="178"/>
    </font>
    <font>
      <sz val="16"/>
      <color rgb="FF66FF33"/>
      <name val="B Titr"/>
      <charset val="178"/>
    </font>
    <font>
      <sz val="12"/>
      <color theme="1"/>
      <name val="B Titr"/>
      <charset val="178"/>
    </font>
    <font>
      <sz val="16"/>
      <color rgb="FFFF0066"/>
      <name val="B Titr"/>
      <charset val="178"/>
    </font>
    <font>
      <sz val="14"/>
      <color rgb="FFC00000"/>
      <name val="B Titr"/>
      <charset val="178"/>
    </font>
    <font>
      <sz val="48"/>
      <color rgb="FFFF0000"/>
      <name val="B Titr"/>
      <charset val="178"/>
    </font>
    <font>
      <b/>
      <sz val="10"/>
      <color theme="1"/>
      <name val="B Titr"/>
      <charset val="178"/>
    </font>
    <font>
      <b/>
      <sz val="8"/>
      <color theme="1"/>
      <name val="B Titr"/>
      <charset val="178"/>
    </font>
    <font>
      <b/>
      <sz val="12"/>
      <color theme="1"/>
      <name val="B Titr"/>
      <charset val="178"/>
    </font>
    <font>
      <b/>
      <sz val="14"/>
      <color theme="1"/>
      <name val="B Titr"/>
      <charset val="178"/>
    </font>
    <font>
      <b/>
      <sz val="14"/>
      <color rgb="FFFF0000"/>
      <name val="B Titr"/>
      <charset val="178"/>
    </font>
    <font>
      <b/>
      <sz val="14"/>
      <color rgb="FF0070C0"/>
      <name val="B Titr"/>
      <charset val="178"/>
    </font>
    <font>
      <b/>
      <sz val="11"/>
      <color theme="0"/>
      <name val="B Titr"/>
      <charset val="178"/>
    </font>
    <font>
      <b/>
      <sz val="16"/>
      <color theme="0"/>
      <name val="B Titr"/>
      <charset val="178"/>
    </font>
    <font>
      <b/>
      <sz val="12"/>
      <color theme="0"/>
      <name val="B Titr"/>
      <charset val="178"/>
    </font>
    <font>
      <sz val="12"/>
      <color rgb="FFFF0000"/>
      <name val="B Titr"/>
      <charset val="178"/>
    </font>
    <font>
      <sz val="12"/>
      <color theme="8" tint="-0.499984740745262"/>
      <name val="B Titr"/>
      <charset val="178"/>
    </font>
    <font>
      <b/>
      <sz val="18"/>
      <color rgb="FFFF0066"/>
      <name val="B Titr"/>
      <charset val="178"/>
    </font>
    <font>
      <b/>
      <sz val="11"/>
      <color rgb="FFFFFF00"/>
      <name val="B Titr"/>
      <charset val="178"/>
    </font>
    <font>
      <b/>
      <sz val="10"/>
      <color rgb="FF00B050"/>
      <name val="B Titr"/>
      <charset val="178"/>
    </font>
    <font>
      <b/>
      <sz val="10"/>
      <color rgb="FFFF0000"/>
      <name val="B Titr"/>
      <charset val="178"/>
    </font>
    <font>
      <b/>
      <sz val="10"/>
      <color theme="9" tint="-0.249977111117893"/>
      <name val="B Titr"/>
      <charset val="178"/>
    </font>
    <font>
      <sz val="36"/>
      <color rgb="FF00B050"/>
      <name val="B Titr"/>
      <charset val="178"/>
    </font>
    <font>
      <b/>
      <sz val="12"/>
      <color rgb="FFFFFF00"/>
      <name val="B Titr"/>
      <charset val="178"/>
    </font>
    <font>
      <b/>
      <sz val="16"/>
      <color rgb="FF00B050"/>
      <name val="B Titr"/>
      <charset val="178"/>
    </font>
    <font>
      <sz val="11"/>
      <color rgb="FF7030A0"/>
      <name val="B Titr"/>
      <charset val="178"/>
    </font>
    <font>
      <sz val="8"/>
      <color rgb="FF7030A0"/>
      <name val="B Titr"/>
      <charset val="178"/>
    </font>
    <font>
      <sz val="9"/>
      <color theme="1"/>
      <name val="B Titr"/>
      <charset val="178"/>
    </font>
    <font>
      <sz val="11"/>
      <color theme="0"/>
      <name val="Calibri"/>
      <family val="2"/>
      <charset val="178"/>
      <scheme val="minor"/>
    </font>
    <font>
      <sz val="20"/>
      <color rgb="FFFF0000"/>
      <name val="B Titr"/>
      <charset val="178"/>
    </font>
    <font>
      <sz val="20"/>
      <color theme="0"/>
      <name val="B Titr"/>
      <charset val="178"/>
    </font>
    <font>
      <sz val="36"/>
      <color rgb="FFFF0000"/>
      <name val="B Titr"/>
      <charset val="178"/>
    </font>
    <font>
      <sz val="20"/>
      <color rgb="FF002060"/>
      <name val="B Narm"/>
      <charset val="178"/>
    </font>
    <font>
      <sz val="11"/>
      <color theme="1"/>
      <name val="B Narm"/>
      <charset val="178"/>
    </font>
    <font>
      <b/>
      <sz val="9"/>
      <color indexed="81"/>
      <name val="Tahoma"/>
      <charset val="178"/>
    </font>
    <font>
      <b/>
      <sz val="10"/>
      <name val="B Titr"/>
      <charset val="178"/>
    </font>
    <font>
      <b/>
      <sz val="11"/>
      <name val="B Titr"/>
      <charset val="178"/>
    </font>
  </fonts>
  <fills count="35">
    <fill>
      <patternFill patternType="none"/>
    </fill>
    <fill>
      <patternFill patternType="gray125"/>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5" tint="-0.249977111117893"/>
        <bgColor indexed="64"/>
      </patternFill>
    </fill>
    <fill>
      <patternFill patternType="solid">
        <fgColor rgb="FF7030A0"/>
        <bgColor indexed="64"/>
      </patternFill>
    </fill>
    <fill>
      <patternFill patternType="solid">
        <fgColor rgb="FF002060"/>
        <bgColor indexed="64"/>
      </patternFill>
    </fill>
    <fill>
      <patternFill patternType="solid">
        <fgColor rgb="FFC00000"/>
        <bgColor indexed="64"/>
      </patternFill>
    </fill>
    <fill>
      <patternFill patternType="solid">
        <fgColor rgb="FF66FF33"/>
        <bgColor indexed="64"/>
      </patternFill>
    </fill>
    <fill>
      <patternFill patternType="solid">
        <fgColor theme="9" tint="0.59999389629810485"/>
        <bgColor indexed="64"/>
      </patternFill>
    </fill>
    <fill>
      <patternFill patternType="solid">
        <fgColor theme="9" tint="0.39997558519241921"/>
        <bgColor indexed="64"/>
      </patternFill>
    </fill>
    <fill>
      <patternFill patternType="darkUp">
        <bgColor theme="0"/>
      </patternFill>
    </fill>
    <fill>
      <patternFill patternType="solid">
        <fgColor rgb="FFFF0066"/>
        <bgColor indexed="64"/>
      </patternFill>
    </fill>
    <fill>
      <patternFill patternType="solid">
        <fgColor theme="0" tint="-0.499984740745262"/>
        <bgColor indexed="64"/>
      </patternFill>
    </fill>
    <fill>
      <patternFill patternType="solid">
        <fgColor theme="3"/>
        <bgColor indexed="64"/>
      </patternFill>
    </fill>
    <fill>
      <patternFill patternType="solid">
        <fgColor theme="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FF6600"/>
        <bgColor indexed="64"/>
      </patternFill>
    </fill>
    <fill>
      <patternFill patternType="solid">
        <fgColor theme="1" tint="0.14999847407452621"/>
        <bgColor indexed="64"/>
      </patternFill>
    </fill>
    <fill>
      <patternFill patternType="solid">
        <fgColor theme="7" tint="-0.499984740745262"/>
        <bgColor indexed="64"/>
      </patternFill>
    </fill>
    <fill>
      <patternFill patternType="gray0625">
        <fgColor auto="1"/>
        <bgColor theme="0"/>
      </patternFill>
    </fill>
  </fills>
  <borders count="64">
    <border>
      <left/>
      <right/>
      <top/>
      <bottom/>
      <diagonal/>
    </border>
    <border>
      <left style="thick">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ck">
        <color auto="1"/>
      </right>
      <top style="thin">
        <color auto="1"/>
      </top>
      <bottom style="thin">
        <color auto="1"/>
      </bottom>
      <diagonal/>
    </border>
    <border>
      <left style="thick">
        <color auto="1"/>
      </left>
      <right style="medium">
        <color auto="1"/>
      </right>
      <top style="thin">
        <color auto="1"/>
      </top>
      <bottom style="thick">
        <color auto="1"/>
      </bottom>
      <diagonal/>
    </border>
    <border>
      <left style="medium">
        <color auto="1"/>
      </left>
      <right style="medium">
        <color auto="1"/>
      </right>
      <top style="thin">
        <color auto="1"/>
      </top>
      <bottom style="thick">
        <color auto="1"/>
      </bottom>
      <diagonal/>
    </border>
    <border>
      <left style="medium">
        <color auto="1"/>
      </left>
      <right style="thick">
        <color auto="1"/>
      </right>
      <top style="thin">
        <color auto="1"/>
      </top>
      <bottom style="thick">
        <color auto="1"/>
      </bottom>
      <diagonal/>
    </border>
    <border>
      <left style="thick">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ck">
        <color auto="1"/>
      </right>
      <top/>
      <bottom style="thin">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thick">
        <color auto="1"/>
      </left>
      <right style="medium">
        <color auto="1"/>
      </right>
      <top style="thick">
        <color auto="1"/>
      </top>
      <bottom style="thin">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ck">
        <color auto="1"/>
      </top>
      <bottom/>
      <diagonal/>
    </border>
    <border>
      <left style="medium">
        <color auto="1"/>
      </left>
      <right style="medium">
        <color auto="1"/>
      </right>
      <top/>
      <bottom style="thick">
        <color auto="1"/>
      </bottom>
      <diagonal/>
    </border>
    <border>
      <left style="medium">
        <color auto="1"/>
      </left>
      <right/>
      <top style="thick">
        <color auto="1"/>
      </top>
      <bottom style="thick">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medium">
        <color auto="1"/>
      </left>
      <right/>
      <top style="thick">
        <color auto="1"/>
      </top>
      <bottom/>
      <diagonal/>
    </border>
    <border>
      <left style="medium">
        <color auto="1"/>
      </left>
      <right/>
      <top/>
      <bottom style="thick">
        <color auto="1"/>
      </bottom>
      <diagonal/>
    </border>
    <border>
      <left style="thick">
        <color auto="1"/>
      </left>
      <right/>
      <top style="thick">
        <color auto="1"/>
      </top>
      <bottom/>
      <diagonal/>
    </border>
    <border>
      <left/>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thin">
        <color auto="1"/>
      </top>
      <bottom/>
      <diagonal/>
    </border>
    <border>
      <left style="medium">
        <color auto="1"/>
      </left>
      <right style="thick">
        <color auto="1"/>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medium">
        <color auto="1"/>
      </right>
      <top style="thick">
        <color auto="1"/>
      </top>
      <bottom style="thick">
        <color auto="1"/>
      </bottom>
      <diagonal/>
    </border>
    <border>
      <left/>
      <right style="thick">
        <color auto="1"/>
      </right>
      <top style="thick">
        <color auto="1"/>
      </top>
      <bottom style="thick">
        <color auto="1"/>
      </bottom>
      <diagonal/>
    </border>
    <border>
      <left style="thick">
        <color auto="1"/>
      </left>
      <right style="medium">
        <color auto="1"/>
      </right>
      <top style="thick">
        <color auto="1"/>
      </top>
      <bottom/>
      <diagonal/>
    </border>
    <border>
      <left style="medium">
        <color auto="1"/>
      </left>
      <right style="thick">
        <color auto="1"/>
      </right>
      <top style="thick">
        <color auto="1"/>
      </top>
      <bottom/>
      <diagonal/>
    </border>
    <border>
      <left style="thick">
        <color auto="1"/>
      </left>
      <right style="medium">
        <color auto="1"/>
      </right>
      <top/>
      <bottom style="thick">
        <color auto="1"/>
      </bottom>
      <diagonal/>
    </border>
    <border>
      <left style="medium">
        <color auto="1"/>
      </left>
      <right style="thick">
        <color auto="1"/>
      </right>
      <top/>
      <bottom style="thick">
        <color auto="1"/>
      </bottom>
      <diagonal/>
    </border>
    <border>
      <left style="thick">
        <color auto="1"/>
      </left>
      <right style="medium">
        <color auto="1"/>
      </right>
      <top style="thin">
        <color auto="1"/>
      </top>
      <bottom/>
      <diagonal/>
    </border>
    <border>
      <left style="medium">
        <color auto="1"/>
      </left>
      <right/>
      <top style="thin">
        <color auto="1"/>
      </top>
      <bottom/>
      <diagonal/>
    </border>
    <border>
      <left style="thick">
        <color auto="1"/>
      </left>
      <right style="thick">
        <color auto="1"/>
      </right>
      <top/>
      <bottom style="thick">
        <color auto="1"/>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right style="medium">
        <color auto="1"/>
      </right>
      <top style="thin">
        <color auto="1"/>
      </top>
      <bottom style="thin">
        <color auto="1"/>
      </bottom>
      <diagonal/>
    </border>
    <border>
      <left style="thick">
        <color auto="1"/>
      </left>
      <right style="thick">
        <color theme="0"/>
      </right>
      <top style="thick">
        <color theme="0"/>
      </top>
      <bottom style="thick">
        <color theme="0"/>
      </bottom>
      <diagonal/>
    </border>
    <border>
      <left/>
      <right style="medium">
        <color auto="1"/>
      </right>
      <top/>
      <bottom/>
      <diagonal/>
    </border>
    <border>
      <left style="medium">
        <color auto="1"/>
      </left>
      <right style="medium">
        <color auto="1"/>
      </right>
      <top/>
      <bottom/>
      <diagonal/>
    </border>
    <border>
      <left style="medium">
        <color auto="1"/>
      </left>
      <right style="thick">
        <color auto="1"/>
      </right>
      <top/>
      <bottom/>
      <diagonal/>
    </border>
    <border>
      <left style="thick">
        <color auto="1"/>
      </left>
      <right style="medium">
        <color auto="1"/>
      </right>
      <top/>
      <bottom/>
      <diagonal/>
    </border>
    <border>
      <left/>
      <right style="medium">
        <color auto="1"/>
      </right>
      <top style="thick">
        <color auto="1"/>
      </top>
      <bottom/>
      <diagonal/>
    </border>
    <border>
      <left style="medium">
        <color auto="1"/>
      </left>
      <right/>
      <top/>
      <bottom/>
      <diagonal/>
    </border>
    <border>
      <left/>
      <right style="medium">
        <color auto="1"/>
      </right>
      <top/>
      <bottom style="thick">
        <color auto="1"/>
      </bottom>
      <diagonal/>
    </border>
    <border>
      <left style="thick">
        <color auto="1"/>
      </left>
      <right style="thick">
        <color theme="0"/>
      </right>
      <top style="thick">
        <color auto="1"/>
      </top>
      <bottom style="thick">
        <color auto="1"/>
      </bottom>
      <diagonal/>
    </border>
    <border>
      <left style="thick">
        <color theme="0"/>
      </left>
      <right style="thick">
        <color theme="0"/>
      </right>
      <top style="thick">
        <color auto="1"/>
      </top>
      <bottom style="thick">
        <color auto="1"/>
      </bottom>
      <diagonal/>
    </border>
    <border>
      <left style="thick">
        <color theme="0"/>
      </left>
      <right style="thick">
        <color auto="1"/>
      </right>
      <top style="thick">
        <color auto="1"/>
      </top>
      <bottom style="thick">
        <color auto="1"/>
      </bottom>
      <diagonal/>
    </border>
    <border>
      <left style="medium">
        <color auto="1"/>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thick">
        <color auto="1"/>
      </right>
      <top style="thick">
        <color auto="1"/>
      </top>
      <bottom style="thin">
        <color auto="1"/>
      </bottom>
      <diagonal/>
    </border>
  </borders>
  <cellStyleXfs count="1">
    <xf numFmtId="0" fontId="0" fillId="0" borderId="0"/>
  </cellStyleXfs>
  <cellXfs count="383">
    <xf numFmtId="0" fontId="0" fillId="0" borderId="0" xfId="0"/>
    <xf numFmtId="0" fontId="1" fillId="0" borderId="0" xfId="0" applyFont="1" applyAlignment="1">
      <alignment horizontal="center" vertical="center"/>
    </xf>
    <xf numFmtId="0" fontId="1" fillId="0" borderId="0" xfId="0" applyFont="1"/>
    <xf numFmtId="0" fontId="5" fillId="14" borderId="10" xfId="0" applyFont="1" applyFill="1" applyBorder="1" applyAlignment="1">
      <alignment horizontal="center" vertical="center"/>
    </xf>
    <xf numFmtId="0" fontId="5" fillId="14" borderId="11" xfId="0" applyFont="1" applyFill="1" applyBorder="1" applyAlignment="1">
      <alignment horizontal="center" vertical="center"/>
    </xf>
    <xf numFmtId="0" fontId="5" fillId="14" borderId="12" xfId="0" applyFont="1" applyFill="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5" fillId="14" borderId="11" xfId="0" applyFont="1" applyFill="1" applyBorder="1" applyAlignment="1">
      <alignment horizontal="center" vertical="center" wrapText="1"/>
    </xf>
    <xf numFmtId="3" fontId="1" fillId="11" borderId="11" xfId="0" applyNumberFormat="1" applyFont="1" applyFill="1" applyBorder="1" applyAlignment="1" applyProtection="1">
      <alignment horizontal="center" vertical="center"/>
      <protection locked="0"/>
    </xf>
    <xf numFmtId="3" fontId="1" fillId="5" borderId="18" xfId="0" applyNumberFormat="1" applyFont="1" applyFill="1" applyBorder="1" applyAlignment="1" applyProtection="1">
      <alignment horizontal="center" vertical="center"/>
      <protection locked="0"/>
    </xf>
    <xf numFmtId="3" fontId="1" fillId="5" borderId="2" xfId="0" applyNumberFormat="1" applyFont="1" applyFill="1" applyBorder="1" applyAlignment="1" applyProtection="1">
      <alignment horizontal="center" vertical="center"/>
      <protection locked="0"/>
    </xf>
    <xf numFmtId="0" fontId="5" fillId="14" borderId="21" xfId="0" applyFont="1" applyFill="1" applyBorder="1" applyAlignment="1">
      <alignment horizontal="center" vertical="center" wrapText="1"/>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0" xfId="0" applyFont="1" applyAlignment="1" applyProtection="1">
      <alignment horizontal="center" vertical="center"/>
    </xf>
    <xf numFmtId="0" fontId="1" fillId="7" borderId="10"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9" borderId="11" xfId="0" applyFont="1" applyFill="1" applyBorder="1" applyAlignment="1" applyProtection="1">
      <alignment horizontal="center" vertical="center"/>
    </xf>
    <xf numFmtId="0" fontId="1" fillId="7" borderId="16" xfId="0" applyFont="1" applyFill="1" applyBorder="1" applyAlignment="1" applyProtection="1">
      <alignment horizontal="center" vertical="center"/>
    </xf>
    <xf numFmtId="0" fontId="1" fillId="4" borderId="17" xfId="0" applyFont="1" applyFill="1" applyBorder="1" applyAlignment="1" applyProtection="1">
      <alignment horizontal="center" vertical="center"/>
    </xf>
    <xf numFmtId="3" fontId="1" fillId="12" borderId="18" xfId="0" applyNumberFormat="1" applyFont="1" applyFill="1" applyBorder="1" applyAlignment="1" applyProtection="1">
      <alignment horizontal="center" vertical="center"/>
    </xf>
    <xf numFmtId="3" fontId="1" fillId="13" borderId="18" xfId="0" applyNumberFormat="1" applyFont="1" applyFill="1" applyBorder="1" applyAlignment="1" applyProtection="1">
      <alignment horizontal="center" vertical="center"/>
    </xf>
    <xf numFmtId="3" fontId="1" fillId="13" borderId="2" xfId="0" applyNumberFormat="1" applyFont="1" applyFill="1" applyBorder="1" applyAlignment="1" applyProtection="1">
      <alignment horizontal="center" vertical="center"/>
    </xf>
    <xf numFmtId="3" fontId="1" fillId="0" borderId="0" xfId="0" applyNumberFormat="1" applyFont="1" applyAlignment="1">
      <alignment horizontal="center" vertical="center"/>
    </xf>
    <xf numFmtId="164" fontId="1" fillId="0" borderId="0" xfId="0" applyNumberFormat="1" applyFont="1" applyAlignment="1">
      <alignment horizontal="center" vertical="center"/>
    </xf>
    <xf numFmtId="0" fontId="12" fillId="0" borderId="0" xfId="0" applyFont="1" applyAlignment="1">
      <alignment vertical="center" wrapText="1"/>
    </xf>
    <xf numFmtId="3" fontId="12" fillId="0" borderId="0" xfId="0" applyNumberFormat="1" applyFont="1" applyAlignment="1">
      <alignment vertical="center"/>
    </xf>
    <xf numFmtId="0" fontId="12" fillId="0" borderId="0" xfId="0" applyFont="1" applyAlignment="1">
      <alignment vertical="center"/>
    </xf>
    <xf numFmtId="0" fontId="13" fillId="14" borderId="33" xfId="0" applyFont="1" applyFill="1" applyBorder="1" applyAlignment="1">
      <alignment horizontal="center" vertical="center"/>
    </xf>
    <xf numFmtId="3" fontId="1" fillId="4" borderId="7" xfId="0" applyNumberFormat="1" applyFont="1" applyFill="1" applyBorder="1" applyAlignment="1">
      <alignment horizontal="center" vertical="center"/>
    </xf>
    <xf numFmtId="0" fontId="21" fillId="14" borderId="12" xfId="0" applyFont="1" applyFill="1" applyBorder="1" applyAlignment="1">
      <alignment horizontal="center" vertical="center"/>
    </xf>
    <xf numFmtId="3" fontId="16" fillId="14" borderId="11" xfId="0" applyNumberFormat="1" applyFont="1" applyFill="1" applyBorder="1" applyAlignment="1">
      <alignment horizontal="center" vertical="center"/>
    </xf>
    <xf numFmtId="1" fontId="1" fillId="0" borderId="0" xfId="0" applyNumberFormat="1" applyFont="1" applyAlignment="1">
      <alignment horizontal="center" vertical="center"/>
    </xf>
    <xf numFmtId="0" fontId="1" fillId="0" borderId="0" xfId="0" applyNumberFormat="1" applyFont="1" applyAlignment="1">
      <alignment horizontal="center" vertical="center"/>
    </xf>
    <xf numFmtId="167" fontId="1" fillId="11" borderId="10" xfId="0" applyNumberFormat="1" applyFont="1" applyFill="1" applyBorder="1" applyAlignment="1" applyProtection="1">
      <alignment horizontal="center" vertical="center"/>
      <protection locked="0"/>
    </xf>
    <xf numFmtId="167" fontId="1" fillId="11" borderId="11" xfId="0" applyNumberFormat="1" applyFont="1" applyFill="1" applyBorder="1" applyAlignment="1" applyProtection="1">
      <alignment horizontal="center" vertical="center"/>
      <protection locked="0"/>
    </xf>
    <xf numFmtId="166" fontId="1" fillId="0" borderId="0" xfId="0" applyNumberFormat="1" applyFont="1" applyAlignment="1">
      <alignment horizontal="center" vertical="center"/>
    </xf>
    <xf numFmtId="167" fontId="1" fillId="0" borderId="0" xfId="0" applyNumberFormat="1" applyFont="1" applyAlignment="1">
      <alignment horizontal="center" vertical="center"/>
    </xf>
    <xf numFmtId="2" fontId="1" fillId="0" borderId="0" xfId="0" applyNumberFormat="1" applyFont="1" applyAlignment="1">
      <alignment horizontal="center" vertical="center"/>
    </xf>
    <xf numFmtId="0" fontId="1" fillId="0" borderId="0" xfId="0" applyFont="1" applyAlignment="1">
      <alignment horizontal="center" vertical="center" readingOrder="1"/>
    </xf>
    <xf numFmtId="165" fontId="1" fillId="0" borderId="0" xfId="0" applyNumberFormat="1" applyFont="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45" xfId="0" applyFont="1" applyBorder="1" applyAlignment="1">
      <alignment horizontal="center" vertical="center"/>
    </xf>
    <xf numFmtId="0" fontId="1" fillId="0" borderId="35" xfId="0" applyFont="1" applyBorder="1" applyAlignment="1">
      <alignment horizontal="center" vertical="center"/>
    </xf>
    <xf numFmtId="164" fontId="1" fillId="5" borderId="8"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164" fontId="1" fillId="5" borderId="2" xfId="0" applyNumberFormat="1" applyFont="1" applyFill="1" applyBorder="1" applyAlignment="1" applyProtection="1">
      <alignment horizontal="center" vertical="center"/>
      <protection locked="0"/>
    </xf>
    <xf numFmtId="3" fontId="1" fillId="12" borderId="2" xfId="0" applyNumberFormat="1" applyFont="1" applyFill="1" applyBorder="1" applyAlignment="1" applyProtection="1">
      <alignment horizontal="center" vertical="center"/>
      <protection locked="0"/>
    </xf>
    <xf numFmtId="3" fontId="1" fillId="12" borderId="34" xfId="0" applyNumberFormat="1"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3" borderId="0" xfId="0" applyFont="1" applyFill="1" applyAlignment="1">
      <alignment horizontal="center" vertical="center"/>
    </xf>
    <xf numFmtId="49" fontId="1" fillId="0" borderId="0" xfId="0" applyNumberFormat="1" applyFont="1" applyAlignment="1">
      <alignment horizontal="center" vertical="center"/>
    </xf>
    <xf numFmtId="3" fontId="4" fillId="3" borderId="50" xfId="0" applyNumberFormat="1" applyFont="1" applyFill="1" applyBorder="1" applyAlignment="1">
      <alignment horizontal="center" vertical="center"/>
    </xf>
    <xf numFmtId="0" fontId="29" fillId="0" borderId="0" xfId="0" applyFont="1" applyAlignment="1">
      <alignment horizontal="right" vertical="center"/>
    </xf>
    <xf numFmtId="3" fontId="17" fillId="20" borderId="39" xfId="0" applyNumberFormat="1" applyFont="1" applyFill="1" applyBorder="1" applyAlignment="1">
      <alignment horizontal="center" vertical="center"/>
    </xf>
    <xf numFmtId="3" fontId="15" fillId="20" borderId="39" xfId="0" applyNumberFormat="1" applyFont="1" applyFill="1" applyBorder="1" applyAlignment="1">
      <alignment horizontal="center" vertical="center"/>
    </xf>
    <xf numFmtId="0" fontId="45"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1" xfId="0"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12" xfId="0" applyFont="1" applyFill="1" applyBorder="1" applyAlignment="1">
      <alignment horizontal="center" vertical="center"/>
    </xf>
    <xf numFmtId="0" fontId="46" fillId="4" borderId="7" xfId="0" applyFont="1" applyFill="1" applyBorder="1" applyAlignment="1">
      <alignment horizontal="center" vertical="center"/>
    </xf>
    <xf numFmtId="0" fontId="33" fillId="21" borderId="8" xfId="0" applyFont="1" applyFill="1" applyBorder="1" applyAlignment="1" applyProtection="1">
      <alignment horizontal="center" vertical="center"/>
      <protection locked="0"/>
    </xf>
    <xf numFmtId="0" fontId="47" fillId="25" borderId="8" xfId="0" applyFont="1" applyFill="1" applyBorder="1" applyAlignment="1" applyProtection="1">
      <alignment horizontal="center" vertical="center"/>
      <protection locked="0"/>
    </xf>
    <xf numFmtId="1" fontId="33" fillId="26" borderId="8" xfId="0" applyNumberFormat="1" applyFont="1" applyFill="1" applyBorder="1" applyAlignment="1" applyProtection="1">
      <alignment horizontal="center" vertical="center"/>
      <protection locked="0"/>
    </xf>
    <xf numFmtId="0" fontId="33" fillId="28" borderId="8" xfId="0" applyFont="1" applyFill="1" applyBorder="1" applyAlignment="1" applyProtection="1">
      <alignment horizontal="center" vertical="center"/>
      <protection locked="0"/>
    </xf>
    <xf numFmtId="49" fontId="33" fillId="27" borderId="8" xfId="0" applyNumberFormat="1" applyFont="1" applyFill="1" applyBorder="1" applyAlignment="1" applyProtection="1">
      <alignment horizontal="center" vertical="center"/>
      <protection locked="0"/>
    </xf>
    <xf numFmtId="49" fontId="33" fillId="13" borderId="8" xfId="0" applyNumberFormat="1" applyFont="1" applyFill="1" applyBorder="1" applyAlignment="1" applyProtection="1">
      <alignment horizontal="center" vertical="center"/>
      <protection locked="0"/>
    </xf>
    <xf numFmtId="49" fontId="33" fillId="12" borderId="8" xfId="0" applyNumberFormat="1" applyFont="1" applyFill="1" applyBorder="1" applyAlignment="1" applyProtection="1">
      <alignment horizontal="center" vertical="center"/>
      <protection locked="0"/>
    </xf>
    <xf numFmtId="164" fontId="47" fillId="5" borderId="8" xfId="0" applyNumberFormat="1" applyFont="1" applyFill="1" applyBorder="1" applyAlignment="1" applyProtection="1">
      <alignment horizontal="center" vertical="center"/>
      <protection locked="0"/>
    </xf>
    <xf numFmtId="0" fontId="47" fillId="25" borderId="2" xfId="0" applyFont="1" applyFill="1" applyBorder="1" applyAlignment="1" applyProtection="1">
      <alignment horizontal="center" vertical="center"/>
      <protection locked="0"/>
    </xf>
    <xf numFmtId="49" fontId="33" fillId="13" borderId="2" xfId="0" applyNumberFormat="1" applyFont="1" applyFill="1" applyBorder="1" applyAlignment="1" applyProtection="1">
      <alignment horizontal="center" vertical="center"/>
      <protection locked="0"/>
    </xf>
    <xf numFmtId="49" fontId="33" fillId="12" borderId="2" xfId="0" applyNumberFormat="1" applyFont="1" applyFill="1" applyBorder="1" applyAlignment="1" applyProtection="1">
      <alignment horizontal="center" vertical="center"/>
      <protection locked="0"/>
    </xf>
    <xf numFmtId="0" fontId="47" fillId="25" borderId="5" xfId="0" applyFont="1" applyFill="1" applyBorder="1" applyAlignment="1" applyProtection="1">
      <alignment horizontal="center" vertical="center"/>
      <protection locked="0"/>
    </xf>
    <xf numFmtId="1" fontId="33" fillId="26" borderId="5" xfId="0" applyNumberFormat="1" applyFont="1" applyFill="1" applyBorder="1" applyAlignment="1" applyProtection="1">
      <alignment horizontal="center" vertical="center"/>
      <protection locked="0"/>
    </xf>
    <xf numFmtId="0" fontId="33" fillId="28" borderId="5" xfId="0" applyFont="1" applyFill="1" applyBorder="1" applyAlignment="1" applyProtection="1">
      <alignment horizontal="center" vertical="center"/>
      <protection locked="0"/>
    </xf>
    <xf numFmtId="49" fontId="33" fillId="27" borderId="5" xfId="0" applyNumberFormat="1" applyFont="1" applyFill="1" applyBorder="1" applyAlignment="1" applyProtection="1">
      <alignment horizontal="center" vertical="center"/>
      <protection locked="0"/>
    </xf>
    <xf numFmtId="49" fontId="33" fillId="13" borderId="5" xfId="0" applyNumberFormat="1" applyFont="1" applyFill="1" applyBorder="1" applyAlignment="1" applyProtection="1">
      <alignment horizontal="center" vertical="center"/>
      <protection locked="0"/>
    </xf>
    <xf numFmtId="49" fontId="33" fillId="12" borderId="5" xfId="0" applyNumberFormat="1" applyFont="1" applyFill="1" applyBorder="1" applyAlignment="1" applyProtection="1">
      <alignment horizontal="center" vertical="center"/>
      <protection locked="0"/>
    </xf>
    <xf numFmtId="3" fontId="39" fillId="6" borderId="39" xfId="0" applyNumberFormat="1" applyFont="1" applyFill="1" applyBorder="1" applyAlignment="1" applyProtection="1">
      <alignment horizontal="center" vertical="center"/>
      <protection locked="0"/>
    </xf>
    <xf numFmtId="3" fontId="5" fillId="6" borderId="39" xfId="0" applyNumberFormat="1" applyFont="1" applyFill="1" applyBorder="1" applyAlignment="1" applyProtection="1">
      <alignment horizontal="center" vertical="center"/>
      <protection locked="0"/>
    </xf>
    <xf numFmtId="0" fontId="37" fillId="3" borderId="0" xfId="0" applyFont="1" applyFill="1" applyAlignment="1" applyProtection="1">
      <alignment horizontal="center" vertical="center"/>
      <protection locked="0"/>
    </xf>
    <xf numFmtId="0" fontId="38" fillId="3" borderId="0" xfId="0" applyFont="1" applyFill="1" applyAlignment="1" applyProtection="1">
      <alignment horizontal="center" vertical="center"/>
      <protection locked="0"/>
    </xf>
    <xf numFmtId="0" fontId="33" fillId="23" borderId="9" xfId="0" applyFont="1" applyFill="1" applyBorder="1" applyAlignment="1" applyProtection="1">
      <alignment horizontal="center" vertical="center" readingOrder="2"/>
      <protection locked="0"/>
    </xf>
    <xf numFmtId="0" fontId="33" fillId="23" borderId="43" xfId="0" applyFont="1" applyFill="1" applyBorder="1" applyAlignment="1" applyProtection="1">
      <alignment horizontal="center" vertical="center" readingOrder="2"/>
      <protection locked="0"/>
    </xf>
    <xf numFmtId="164" fontId="48" fillId="5" borderId="8" xfId="0" applyNumberFormat="1" applyFont="1" applyFill="1" applyBorder="1" applyAlignment="1" applyProtection="1">
      <alignment horizontal="center" vertical="center"/>
      <protection locked="0"/>
    </xf>
    <xf numFmtId="164" fontId="48" fillId="5" borderId="20" xfId="0" applyNumberFormat="1" applyFont="1" applyFill="1" applyBorder="1" applyAlignment="1" applyProtection="1">
      <alignment horizontal="center" vertical="center"/>
      <protection locked="0"/>
    </xf>
    <xf numFmtId="0" fontId="1" fillId="29" borderId="9" xfId="0" applyFont="1" applyFill="1" applyBorder="1" applyAlignment="1" applyProtection="1">
      <alignment horizontal="center" vertical="center"/>
      <protection locked="0"/>
    </xf>
    <xf numFmtId="0" fontId="1" fillId="29" borderId="3" xfId="0" applyFont="1" applyFill="1" applyBorder="1" applyAlignment="1" applyProtection="1">
      <alignment horizontal="center" vertical="center"/>
      <protection locked="0"/>
    </xf>
    <xf numFmtId="3" fontId="1" fillId="20" borderId="8" xfId="0" applyNumberFormat="1" applyFont="1" applyFill="1" applyBorder="1" applyAlignment="1" applyProtection="1">
      <alignment horizontal="center" vertical="center"/>
      <protection locked="0"/>
    </xf>
    <xf numFmtId="3" fontId="1" fillId="20" borderId="2" xfId="0" applyNumberFormat="1" applyFont="1" applyFill="1" applyBorder="1" applyAlignment="1" applyProtection="1">
      <alignment horizontal="center" vertical="center"/>
      <protection locked="0"/>
    </xf>
    <xf numFmtId="3" fontId="1" fillId="20" borderId="34" xfId="0" applyNumberFormat="1" applyFont="1" applyFill="1" applyBorder="1" applyAlignment="1" applyProtection="1">
      <alignment horizontal="center" vertical="center"/>
      <protection locked="0"/>
    </xf>
    <xf numFmtId="0" fontId="1" fillId="30" borderId="8" xfId="0" applyFont="1" applyFill="1" applyBorder="1" applyAlignment="1" applyProtection="1">
      <alignment horizontal="center" vertical="center"/>
      <protection locked="0"/>
    </xf>
    <xf numFmtId="0" fontId="46" fillId="4" borderId="42" xfId="0" applyFont="1" applyFill="1" applyBorder="1" applyAlignment="1">
      <alignment horizontal="center" vertical="center"/>
    </xf>
    <xf numFmtId="3" fontId="1" fillId="12" borderId="2" xfId="0" applyNumberFormat="1" applyFont="1" applyFill="1" applyBorder="1" applyAlignment="1" applyProtection="1">
      <alignment horizontal="center" vertical="center"/>
    </xf>
    <xf numFmtId="0" fontId="3" fillId="0" borderId="0" xfId="0" applyFont="1" applyAlignment="1">
      <alignment horizontal="center" vertical="center" readingOrder="2"/>
    </xf>
    <xf numFmtId="0" fontId="3" fillId="29" borderId="9" xfId="0" applyFont="1" applyFill="1" applyBorder="1" applyAlignment="1" applyProtection="1">
      <alignment horizontal="center" vertical="center" readingOrder="2"/>
      <protection locked="0"/>
    </xf>
    <xf numFmtId="0" fontId="3" fillId="29" borderId="3" xfId="0" applyFont="1" applyFill="1" applyBorder="1" applyAlignment="1" applyProtection="1">
      <alignment horizontal="center" vertical="center" readingOrder="2"/>
      <protection locked="0"/>
    </xf>
    <xf numFmtId="0" fontId="51" fillId="14" borderId="12" xfId="0" applyFont="1" applyFill="1" applyBorder="1" applyAlignment="1">
      <alignment horizontal="center" vertical="center" readingOrder="2"/>
    </xf>
    <xf numFmtId="0" fontId="33" fillId="21" borderId="5" xfId="0" applyFont="1" applyFill="1" applyBorder="1" applyAlignment="1" applyProtection="1">
      <alignment horizontal="center" vertical="center"/>
      <protection locked="0"/>
    </xf>
    <xf numFmtId="49" fontId="33" fillId="27" borderId="18" xfId="0" applyNumberFormat="1" applyFont="1" applyFill="1" applyBorder="1" applyAlignment="1" applyProtection="1">
      <alignment horizontal="center" vertical="center"/>
      <protection locked="0"/>
    </xf>
    <xf numFmtId="49" fontId="33" fillId="27" borderId="20" xfId="0" applyNumberFormat="1" applyFont="1" applyFill="1" applyBorder="1" applyAlignment="1" applyProtection="1">
      <alignment horizontal="center" vertical="center"/>
      <protection locked="0"/>
    </xf>
    <xf numFmtId="0" fontId="1" fillId="3" borderId="0" xfId="0" applyFont="1" applyFill="1" applyAlignment="1" applyProtection="1">
      <alignment horizontal="center" vertical="center"/>
    </xf>
    <xf numFmtId="3" fontId="1" fillId="3" borderId="0" xfId="0" applyNumberFormat="1" applyFont="1" applyFill="1" applyBorder="1" applyAlignment="1" applyProtection="1">
      <alignment horizontal="center" vertical="center"/>
    </xf>
    <xf numFmtId="3" fontId="1" fillId="15" borderId="63" xfId="0" applyNumberFormat="1" applyFont="1" applyFill="1" applyBorder="1" applyAlignment="1" applyProtection="1">
      <alignment horizontal="center" vertical="center"/>
    </xf>
    <xf numFmtId="3" fontId="1" fillId="15" borderId="3" xfId="0" applyNumberFormat="1" applyFont="1" applyFill="1" applyBorder="1" applyAlignment="1" applyProtection="1">
      <alignment horizontal="center" vertical="center"/>
    </xf>
    <xf numFmtId="0" fontId="1" fillId="4" borderId="1" xfId="0" applyFont="1" applyFill="1" applyBorder="1" applyAlignment="1" applyProtection="1">
      <alignment horizontal="center" vertical="center"/>
    </xf>
    <xf numFmtId="0" fontId="1" fillId="4" borderId="4" xfId="0" applyFont="1" applyFill="1" applyBorder="1" applyAlignment="1" applyProtection="1">
      <alignment horizontal="center" vertical="center"/>
    </xf>
    <xf numFmtId="167" fontId="1" fillId="3" borderId="0" xfId="0" applyNumberFormat="1" applyFont="1" applyFill="1" applyBorder="1" applyAlignment="1" applyProtection="1">
      <alignment horizontal="center" vertical="center"/>
    </xf>
    <xf numFmtId="3" fontId="5" fillId="6" borderId="60" xfId="0" applyNumberFormat="1" applyFont="1" applyFill="1" applyBorder="1" applyAlignment="1" applyProtection="1">
      <alignment horizontal="center" vertical="center" wrapText="1"/>
      <protection locked="0"/>
    </xf>
    <xf numFmtId="3" fontId="5" fillId="6" borderId="60" xfId="0" applyNumberFormat="1" applyFont="1" applyFill="1" applyBorder="1" applyAlignment="1" applyProtection="1">
      <alignment horizontal="center" vertical="center"/>
      <protection locked="0"/>
    </xf>
    <xf numFmtId="3" fontId="8" fillId="14" borderId="11" xfId="0" applyNumberFormat="1" applyFont="1" applyFill="1" applyBorder="1" applyAlignment="1" applyProtection="1">
      <alignment horizontal="center" vertical="center"/>
    </xf>
    <xf numFmtId="3" fontId="9" fillId="14" borderId="11" xfId="0" applyNumberFormat="1" applyFont="1" applyFill="1" applyBorder="1" applyAlignment="1" applyProtection="1">
      <alignment horizontal="center" vertical="center"/>
    </xf>
    <xf numFmtId="3" fontId="10" fillId="14" borderId="11" xfId="0" applyNumberFormat="1" applyFont="1" applyFill="1" applyBorder="1" applyAlignment="1" applyProtection="1">
      <alignment horizontal="center" vertical="center"/>
    </xf>
    <xf numFmtId="3" fontId="11" fillId="14" borderId="12" xfId="0" applyNumberFormat="1" applyFont="1" applyFill="1" applyBorder="1" applyAlignment="1" applyProtection="1">
      <alignment horizontal="center" vertical="center"/>
    </xf>
    <xf numFmtId="3" fontId="1" fillId="23" borderId="11" xfId="0" applyNumberFormat="1" applyFont="1" applyFill="1" applyBorder="1" applyAlignment="1" applyProtection="1">
      <alignment horizontal="center" vertical="center"/>
    </xf>
    <xf numFmtId="0" fontId="1" fillId="20" borderId="18" xfId="0" applyFont="1" applyFill="1" applyBorder="1" applyAlignment="1" applyProtection="1">
      <alignment horizontal="center" vertical="center"/>
    </xf>
    <xf numFmtId="0" fontId="1" fillId="20" borderId="2" xfId="0" applyFont="1" applyFill="1" applyBorder="1" applyAlignment="1" applyProtection="1">
      <alignment horizontal="center" vertical="center"/>
    </xf>
    <xf numFmtId="0" fontId="1" fillId="20" borderId="34" xfId="0" applyFont="1" applyFill="1" applyBorder="1" applyAlignment="1" applyProtection="1">
      <alignment horizontal="center" vertical="center"/>
    </xf>
    <xf numFmtId="3" fontId="1" fillId="11" borderId="18" xfId="0" applyNumberFormat="1" applyFont="1" applyFill="1" applyBorder="1" applyAlignment="1" applyProtection="1">
      <alignment horizontal="center" vertical="center"/>
    </xf>
    <xf numFmtId="3" fontId="1" fillId="11" borderId="2" xfId="0" applyNumberFormat="1" applyFont="1" applyFill="1" applyBorder="1" applyAlignment="1" applyProtection="1">
      <alignment horizontal="center" vertical="center"/>
    </xf>
    <xf numFmtId="3" fontId="1" fillId="11" borderId="34" xfId="0" applyNumberFormat="1" applyFont="1" applyFill="1" applyBorder="1" applyAlignment="1" applyProtection="1">
      <alignment horizontal="center" vertical="center"/>
    </xf>
    <xf numFmtId="168" fontId="1" fillId="6" borderId="18" xfId="0" applyNumberFormat="1" applyFont="1" applyFill="1" applyBorder="1" applyAlignment="1" applyProtection="1">
      <alignment horizontal="center" vertical="center"/>
      <protection locked="0"/>
    </xf>
    <xf numFmtId="168" fontId="1" fillId="6" borderId="2" xfId="0" applyNumberFormat="1" applyFont="1" applyFill="1" applyBorder="1" applyAlignment="1" applyProtection="1">
      <alignment horizontal="center" vertical="center"/>
      <protection locked="0"/>
    </xf>
    <xf numFmtId="168" fontId="1" fillId="6" borderId="34" xfId="0" applyNumberFormat="1" applyFont="1" applyFill="1" applyBorder="1" applyAlignment="1" applyProtection="1">
      <alignment horizontal="center" vertical="center"/>
      <protection locked="0"/>
    </xf>
    <xf numFmtId="3" fontId="1" fillId="23" borderId="12" xfId="0" applyNumberFormat="1"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4" fillId="3" borderId="37" xfId="0" applyFont="1" applyFill="1" applyBorder="1" applyAlignment="1" applyProtection="1">
      <alignment horizontal="center" vertical="center"/>
    </xf>
    <xf numFmtId="3" fontId="1" fillId="15" borderId="11" xfId="0" applyNumberFormat="1" applyFont="1" applyFill="1" applyBorder="1" applyAlignment="1" applyProtection="1">
      <alignment horizontal="center" vertical="center"/>
      <protection locked="0"/>
    </xf>
    <xf numFmtId="3" fontId="1" fillId="12" borderId="5" xfId="0" applyNumberFormat="1" applyFont="1" applyFill="1" applyBorder="1" applyAlignment="1" applyProtection="1">
      <alignment horizontal="center" vertical="center"/>
    </xf>
    <xf numFmtId="3" fontId="1" fillId="13" borderId="5" xfId="0" applyNumberFormat="1" applyFont="1" applyFill="1" applyBorder="1" applyAlignment="1" applyProtection="1">
      <alignment horizontal="center" vertical="center"/>
    </xf>
    <xf numFmtId="3" fontId="1" fillId="15" borderId="6" xfId="0" applyNumberFormat="1" applyFont="1" applyFill="1" applyBorder="1" applyAlignment="1" applyProtection="1">
      <alignment horizontal="center" vertical="center"/>
    </xf>
    <xf numFmtId="0" fontId="55" fillId="14" borderId="0" xfId="0" applyFont="1" applyFill="1" applyBorder="1"/>
    <xf numFmtId="0" fontId="56" fillId="3" borderId="0" xfId="0" applyFont="1" applyFill="1" applyBorder="1" applyAlignment="1">
      <alignment vertical="center"/>
    </xf>
    <xf numFmtId="0" fontId="60" fillId="0" borderId="0" xfId="0" applyFont="1"/>
    <xf numFmtId="4" fontId="5" fillId="6" borderId="60" xfId="0" applyNumberFormat="1" applyFont="1" applyFill="1" applyBorder="1" applyAlignment="1" applyProtection="1">
      <alignment horizontal="center" vertical="center" wrapText="1"/>
      <protection locked="0"/>
    </xf>
    <xf numFmtId="3" fontId="1" fillId="5" borderId="5" xfId="0" applyNumberFormat="1" applyFont="1" applyFill="1" applyBorder="1" applyAlignment="1" applyProtection="1">
      <alignment horizontal="center" vertical="center"/>
      <protection locked="0"/>
    </xf>
    <xf numFmtId="4" fontId="33" fillId="8" borderId="8" xfId="0" applyNumberFormat="1" applyFont="1" applyFill="1" applyBorder="1" applyAlignment="1" applyProtection="1">
      <alignment horizontal="center" vertical="center"/>
      <protection locked="0"/>
    </xf>
    <xf numFmtId="4" fontId="33" fillId="8" borderId="5" xfId="0" applyNumberFormat="1" applyFont="1" applyFill="1" applyBorder="1" applyAlignment="1" applyProtection="1">
      <alignment horizontal="center" vertical="center"/>
      <protection locked="0"/>
    </xf>
    <xf numFmtId="164" fontId="47" fillId="5" borderId="5" xfId="0" applyNumberFormat="1" applyFont="1" applyFill="1" applyBorder="1" applyAlignment="1" applyProtection="1">
      <alignment horizontal="center" vertical="center"/>
      <protection locked="0"/>
    </xf>
    <xf numFmtId="3" fontId="1" fillId="4" borderId="7" xfId="0" applyNumberFormat="1" applyFont="1" applyFill="1" applyBorder="1" applyAlignment="1" applyProtection="1">
      <alignment horizontal="center" vertical="center"/>
    </xf>
    <xf numFmtId="164" fontId="16" fillId="6" borderId="8" xfId="0" applyNumberFormat="1" applyFont="1" applyFill="1" applyBorder="1" applyAlignment="1" applyProtection="1">
      <alignment horizontal="center" vertical="center"/>
    </xf>
    <xf numFmtId="3" fontId="29" fillId="21" borderId="8" xfId="0" applyNumberFormat="1" applyFont="1" applyFill="1" applyBorder="1" applyAlignment="1" applyProtection="1">
      <alignment horizontal="center" vertical="center"/>
    </xf>
    <xf numFmtId="3" fontId="29" fillId="13" borderId="8" xfId="0" applyNumberFormat="1" applyFont="1" applyFill="1" applyBorder="1" applyAlignment="1" applyProtection="1">
      <alignment horizontal="center" vertical="center"/>
    </xf>
    <xf numFmtId="3" fontId="1" fillId="11" borderId="9" xfId="0" applyNumberFormat="1" applyFont="1" applyFill="1" applyBorder="1" applyAlignment="1" applyProtection="1">
      <alignment horizontal="center" vertical="center"/>
    </xf>
    <xf numFmtId="0" fontId="12" fillId="0" borderId="0" xfId="0" applyFont="1" applyAlignment="1" applyProtection="1">
      <alignment vertical="center" wrapText="1"/>
    </xf>
    <xf numFmtId="3" fontId="12" fillId="0" borderId="0" xfId="0" applyNumberFormat="1" applyFont="1" applyAlignment="1" applyProtection="1">
      <alignment vertical="center"/>
    </xf>
    <xf numFmtId="0" fontId="12" fillId="0" borderId="0" xfId="0" applyFont="1" applyAlignment="1" applyProtection="1">
      <alignment vertical="center"/>
    </xf>
    <xf numFmtId="164" fontId="16" fillId="6" borderId="2"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 fillId="0" borderId="0" xfId="0" applyNumberFormat="1" applyFont="1" applyAlignment="1" applyProtection="1">
      <alignment horizontal="center" vertical="center"/>
    </xf>
    <xf numFmtId="0" fontId="1" fillId="0" borderId="0" xfId="0" applyFont="1" applyAlignment="1" applyProtection="1">
      <alignment horizontal="center" vertical="center" readingOrder="1"/>
    </xf>
    <xf numFmtId="2" fontId="1" fillId="0" borderId="0" xfId="0" applyNumberFormat="1" applyFont="1" applyAlignment="1" applyProtection="1">
      <alignment horizontal="center" vertical="center"/>
    </xf>
    <xf numFmtId="165" fontId="1" fillId="0" borderId="0" xfId="0" applyNumberFormat="1" applyFont="1" applyAlignment="1" applyProtection="1">
      <alignment horizontal="center" vertical="center"/>
    </xf>
    <xf numFmtId="166" fontId="1" fillId="0" borderId="0" xfId="0" applyNumberFormat="1" applyFont="1" applyAlignment="1" applyProtection="1">
      <alignment horizontal="center" vertical="center"/>
    </xf>
    <xf numFmtId="3" fontId="15" fillId="14" borderId="38" xfId="0" applyNumberFormat="1" applyFont="1" applyFill="1" applyBorder="1" applyAlignment="1" applyProtection="1">
      <alignment horizontal="center" vertical="center"/>
    </xf>
    <xf numFmtId="3" fontId="23" fillId="14" borderId="11" xfId="0" applyNumberFormat="1" applyFont="1" applyFill="1" applyBorder="1" applyAlignment="1" applyProtection="1">
      <alignment horizontal="center" vertical="center"/>
    </xf>
    <xf numFmtId="3" fontId="15" fillId="14" borderId="12" xfId="0" applyNumberFormat="1" applyFont="1" applyFill="1" applyBorder="1" applyAlignment="1" applyProtection="1">
      <alignment horizontal="center" vertical="center"/>
    </xf>
    <xf numFmtId="3" fontId="1" fillId="0" borderId="0" xfId="0" applyNumberFormat="1" applyFont="1" applyAlignment="1" applyProtection="1">
      <alignment horizontal="center" vertical="center"/>
    </xf>
    <xf numFmtId="164" fontId="1" fillId="0" borderId="0" xfId="0" applyNumberFormat="1" applyFont="1" applyAlignment="1" applyProtection="1">
      <alignment horizontal="center" vertical="center"/>
    </xf>
    <xf numFmtId="3" fontId="26" fillId="17" borderId="10" xfId="0" applyNumberFormat="1" applyFont="1" applyFill="1" applyBorder="1" applyAlignment="1" applyProtection="1">
      <alignment horizontal="center" vertical="center"/>
    </xf>
    <xf numFmtId="0" fontId="26" fillId="17" borderId="12" xfId="0" applyFont="1" applyFill="1" applyBorder="1" applyAlignment="1" applyProtection="1">
      <alignment horizontal="center" vertical="center"/>
    </xf>
    <xf numFmtId="3" fontId="29" fillId="21" borderId="9" xfId="0" applyNumberFormat="1" applyFont="1" applyFill="1" applyBorder="1" applyAlignment="1" applyProtection="1">
      <alignment horizontal="center" vertical="center"/>
    </xf>
    <xf numFmtId="3" fontId="1" fillId="4" borderId="1" xfId="0" applyNumberFormat="1" applyFont="1" applyFill="1" applyBorder="1" applyAlignment="1" applyProtection="1">
      <alignment horizontal="center" vertical="center"/>
    </xf>
    <xf numFmtId="3" fontId="1" fillId="4" borderId="44" xfId="0" applyNumberFormat="1"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3" fontId="29" fillId="13" borderId="9" xfId="0" applyNumberFormat="1" applyFont="1" applyFill="1" applyBorder="1" applyAlignment="1" applyProtection="1">
      <alignment horizontal="center" vertical="center"/>
    </xf>
    <xf numFmtId="3" fontId="29" fillId="3" borderId="0" xfId="0" applyNumberFormat="1" applyFont="1" applyFill="1" applyBorder="1" applyAlignment="1" applyProtection="1">
      <alignment horizontal="center" vertical="center"/>
    </xf>
    <xf numFmtId="3" fontId="23" fillId="14" borderId="12" xfId="0" applyNumberFormat="1" applyFont="1" applyFill="1" applyBorder="1" applyAlignment="1" applyProtection="1">
      <alignment horizontal="center" vertical="center"/>
    </xf>
    <xf numFmtId="164" fontId="16" fillId="3" borderId="0" xfId="0" applyNumberFormat="1" applyFont="1" applyFill="1" applyBorder="1" applyAlignment="1" applyProtection="1">
      <alignment horizontal="center" vertical="center"/>
    </xf>
    <xf numFmtId="3" fontId="15" fillId="3" borderId="0" xfId="0" applyNumberFormat="1" applyFont="1" applyFill="1" applyBorder="1" applyAlignment="1" applyProtection="1">
      <alignment horizontal="center" vertical="center"/>
    </xf>
    <xf numFmtId="0" fontId="1" fillId="14" borderId="0" xfId="0" applyFont="1" applyFill="1" applyAlignment="1" applyProtection="1">
      <alignment horizontal="center" vertical="center"/>
    </xf>
    <xf numFmtId="164" fontId="26" fillId="17" borderId="11" xfId="0" applyNumberFormat="1" applyFont="1" applyFill="1" applyBorder="1" applyAlignment="1" applyProtection="1">
      <alignment horizontal="center" vertical="center"/>
    </xf>
    <xf numFmtId="0" fontId="26" fillId="17" borderId="11" xfId="0" applyFont="1" applyFill="1" applyBorder="1" applyAlignment="1" applyProtection="1">
      <alignment horizontal="center" vertical="center"/>
    </xf>
    <xf numFmtId="3" fontId="26" fillId="17" borderId="11" xfId="0" applyNumberFormat="1" applyFont="1" applyFill="1" applyBorder="1" applyAlignment="1" applyProtection="1">
      <alignment horizontal="center" vertical="center"/>
    </xf>
    <xf numFmtId="0" fontId="1" fillId="15" borderId="12" xfId="0" applyFont="1" applyFill="1" applyBorder="1" applyAlignment="1">
      <alignment horizontal="center" vertical="center" wrapText="1"/>
    </xf>
    <xf numFmtId="0" fontId="3" fillId="4" borderId="17" xfId="0" applyFont="1" applyFill="1" applyBorder="1" applyAlignment="1">
      <alignment horizontal="center" vertical="center"/>
    </xf>
    <xf numFmtId="0" fontId="63" fillId="5" borderId="18" xfId="0" applyFont="1" applyFill="1" applyBorder="1" applyAlignment="1">
      <alignment horizontal="center" vertical="center"/>
    </xf>
    <xf numFmtId="0" fontId="3" fillId="5" borderId="18" xfId="0" applyFont="1" applyFill="1" applyBorder="1" applyAlignment="1">
      <alignment horizontal="center" vertical="center"/>
    </xf>
    <xf numFmtId="1" fontId="3" fillId="24" borderId="18" xfId="0" applyNumberFormat="1" applyFont="1" applyFill="1" applyBorder="1" applyAlignment="1" applyProtection="1">
      <alignment horizontal="center" vertical="center"/>
      <protection locked="0"/>
    </xf>
    <xf numFmtId="3" fontId="3" fillId="8" borderId="18" xfId="0" applyNumberFormat="1" applyFont="1" applyFill="1" applyBorder="1" applyAlignment="1">
      <alignment horizontal="center" vertical="center"/>
    </xf>
    <xf numFmtId="0" fontId="3" fillId="8" borderId="18" xfId="0" applyFont="1" applyFill="1" applyBorder="1" applyAlignment="1" applyProtection="1">
      <alignment horizontal="center" vertical="center"/>
      <protection locked="0"/>
    </xf>
    <xf numFmtId="3" fontId="3" fillId="6" borderId="18" xfId="0" applyNumberFormat="1" applyFont="1" applyFill="1" applyBorder="1" applyAlignment="1">
      <alignment horizontal="center" vertical="center"/>
    </xf>
    <xf numFmtId="0" fontId="1" fillId="6" borderId="18" xfId="0" applyFont="1" applyFill="1" applyBorder="1" applyAlignment="1" applyProtection="1">
      <alignment horizontal="center" vertical="center"/>
      <protection locked="0"/>
    </xf>
    <xf numFmtId="3" fontId="1" fillId="7" borderId="18" xfId="0" applyNumberFormat="1" applyFont="1" applyFill="1" applyBorder="1" applyAlignment="1">
      <alignment horizontal="center" vertical="center"/>
    </xf>
    <xf numFmtId="0" fontId="1" fillId="7" borderId="18" xfId="0" applyFont="1" applyFill="1" applyBorder="1" applyAlignment="1" applyProtection="1">
      <alignment horizontal="center" vertical="center"/>
      <protection locked="0"/>
    </xf>
    <xf numFmtId="3" fontId="1" fillId="23" borderId="18" xfId="0" applyNumberFormat="1" applyFont="1" applyFill="1" applyBorder="1" applyAlignment="1" applyProtection="1">
      <alignment horizontal="center" vertical="center"/>
      <protection locked="0"/>
    </xf>
    <xf numFmtId="3" fontId="1" fillId="10" borderId="63" xfId="0" applyNumberFormat="1" applyFont="1" applyFill="1" applyBorder="1" applyAlignment="1">
      <alignment horizontal="center" vertical="center"/>
    </xf>
    <xf numFmtId="0" fontId="63" fillId="5" borderId="2" xfId="0" applyFont="1" applyFill="1" applyBorder="1" applyAlignment="1">
      <alignment horizontal="center" vertical="center"/>
    </xf>
    <xf numFmtId="0" fontId="3" fillId="5" borderId="2" xfId="0" applyFont="1" applyFill="1" applyBorder="1" applyAlignment="1">
      <alignment horizontal="center" vertical="center"/>
    </xf>
    <xf numFmtId="1" fontId="3" fillId="24" borderId="2" xfId="0" applyNumberFormat="1" applyFont="1" applyFill="1" applyBorder="1" applyAlignment="1" applyProtection="1">
      <alignment horizontal="center" vertical="center"/>
      <protection locked="0"/>
    </xf>
    <xf numFmtId="3" fontId="3" fillId="8" borderId="2" xfId="0" applyNumberFormat="1" applyFont="1" applyFill="1" applyBorder="1" applyAlignment="1">
      <alignment horizontal="center" vertical="center"/>
    </xf>
    <xf numFmtId="0" fontId="3" fillId="8" borderId="2" xfId="0" applyFont="1" applyFill="1" applyBorder="1" applyAlignment="1" applyProtection="1">
      <alignment horizontal="center" vertical="center"/>
      <protection locked="0"/>
    </xf>
    <xf numFmtId="3" fontId="3" fillId="6" borderId="2" xfId="0" applyNumberFormat="1" applyFont="1" applyFill="1" applyBorder="1" applyAlignment="1">
      <alignment horizontal="center" vertical="center"/>
    </xf>
    <xf numFmtId="0" fontId="1" fillId="6" borderId="2" xfId="0" applyFont="1" applyFill="1" applyBorder="1" applyAlignment="1" applyProtection="1">
      <alignment horizontal="center" vertical="center"/>
      <protection locked="0"/>
    </xf>
    <xf numFmtId="3" fontId="1" fillId="7" borderId="2" xfId="0" applyNumberFormat="1" applyFont="1" applyFill="1" applyBorder="1" applyAlignment="1">
      <alignment horizontal="center" vertical="center"/>
    </xf>
    <xf numFmtId="0" fontId="1" fillId="7" borderId="2" xfId="0" applyFont="1" applyFill="1" applyBorder="1" applyAlignment="1" applyProtection="1">
      <alignment horizontal="center" vertical="center"/>
      <protection locked="0"/>
    </xf>
    <xf numFmtId="3" fontId="1" fillId="23" borderId="2" xfId="0" applyNumberFormat="1" applyFont="1" applyFill="1" applyBorder="1" applyAlignment="1" applyProtection="1">
      <alignment horizontal="center" vertical="center"/>
      <protection locked="0"/>
    </xf>
    <xf numFmtId="3" fontId="1" fillId="10" borderId="3" xfId="0" applyNumberFormat="1" applyFont="1" applyFill="1" applyBorder="1" applyAlignment="1">
      <alignment horizontal="center" vertical="center"/>
    </xf>
    <xf numFmtId="0" fontId="3" fillId="4" borderId="4" xfId="0" applyFont="1" applyFill="1" applyBorder="1" applyAlignment="1">
      <alignment horizontal="center" vertical="center"/>
    </xf>
    <xf numFmtId="0" fontId="63" fillId="5" borderId="5" xfId="0" applyFont="1" applyFill="1" applyBorder="1" applyAlignment="1">
      <alignment horizontal="center" vertical="center"/>
    </xf>
    <xf numFmtId="0" fontId="3" fillId="5" borderId="5" xfId="0" applyFont="1" applyFill="1" applyBorder="1" applyAlignment="1">
      <alignment horizontal="center" vertical="center"/>
    </xf>
    <xf numFmtId="1" fontId="3" fillId="24" borderId="5" xfId="0" applyNumberFormat="1" applyFont="1" applyFill="1" applyBorder="1" applyAlignment="1" applyProtection="1">
      <alignment horizontal="center" vertical="center"/>
      <protection locked="0"/>
    </xf>
    <xf numFmtId="3" fontId="3" fillId="8" borderId="5" xfId="0" applyNumberFormat="1" applyFont="1" applyFill="1" applyBorder="1" applyAlignment="1">
      <alignment horizontal="center" vertical="center"/>
    </xf>
    <xf numFmtId="0" fontId="3" fillId="8" borderId="5" xfId="0" applyFont="1" applyFill="1" applyBorder="1" applyAlignment="1" applyProtection="1">
      <alignment horizontal="center" vertical="center"/>
      <protection locked="0"/>
    </xf>
    <xf numFmtId="3" fontId="3" fillId="6" borderId="5" xfId="0" applyNumberFormat="1" applyFont="1" applyFill="1" applyBorder="1" applyAlignment="1">
      <alignment horizontal="center" vertical="center"/>
    </xf>
    <xf numFmtId="0" fontId="1" fillId="6" borderId="5" xfId="0" applyFont="1" applyFill="1" applyBorder="1" applyAlignment="1" applyProtection="1">
      <alignment horizontal="center" vertical="center"/>
      <protection locked="0"/>
    </xf>
    <xf numFmtId="3" fontId="1" fillId="7" borderId="5" xfId="0" applyNumberFormat="1" applyFont="1" applyFill="1" applyBorder="1" applyAlignment="1">
      <alignment horizontal="center" vertical="center"/>
    </xf>
    <xf numFmtId="0" fontId="1" fillId="7" borderId="5" xfId="0" applyFont="1" applyFill="1" applyBorder="1" applyAlignment="1" applyProtection="1">
      <alignment horizontal="center" vertical="center"/>
      <protection locked="0"/>
    </xf>
    <xf numFmtId="3" fontId="1" fillId="23" borderId="5" xfId="0" applyNumberFormat="1" applyFont="1" applyFill="1" applyBorder="1" applyAlignment="1" applyProtection="1">
      <alignment horizontal="center" vertical="center"/>
      <protection locked="0"/>
    </xf>
    <xf numFmtId="3" fontId="1" fillId="10" borderId="6" xfId="0" applyNumberFormat="1" applyFont="1" applyFill="1" applyBorder="1" applyAlignment="1">
      <alignment horizontal="center" vertical="center"/>
    </xf>
    <xf numFmtId="0" fontId="1" fillId="2" borderId="19"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62" fillId="11" borderId="8" xfId="0" applyFont="1" applyFill="1" applyBorder="1" applyAlignment="1" applyProtection="1">
      <alignment horizontal="center" vertical="center"/>
      <protection locked="0"/>
    </xf>
    <xf numFmtId="0" fontId="62" fillId="11" borderId="2" xfId="0" applyFont="1" applyFill="1" applyBorder="1" applyAlignment="1" applyProtection="1">
      <alignment horizontal="center" vertical="center"/>
      <protection locked="0"/>
    </xf>
    <xf numFmtId="0" fontId="62" fillId="11" borderId="5" xfId="0" applyFont="1" applyFill="1" applyBorder="1" applyAlignment="1" applyProtection="1">
      <alignment horizontal="center" vertical="center"/>
      <protection locked="0"/>
    </xf>
    <xf numFmtId="0" fontId="17" fillId="14" borderId="25" xfId="0" applyFont="1" applyFill="1" applyBorder="1" applyAlignment="1">
      <alignment horizontal="center" vertical="center"/>
    </xf>
    <xf numFmtId="0" fontId="17" fillId="14" borderId="56" xfId="0" applyFont="1" applyFill="1" applyBorder="1" applyAlignment="1">
      <alignment horizontal="center" vertical="center"/>
    </xf>
    <xf numFmtId="0" fontId="42" fillId="14" borderId="56" xfId="0" applyFont="1" applyFill="1" applyBorder="1" applyAlignment="1">
      <alignment horizontal="center" vertical="center"/>
    </xf>
    <xf numFmtId="0" fontId="18" fillId="32" borderId="56" xfId="0" applyFont="1" applyFill="1" applyBorder="1" applyAlignment="1">
      <alignment horizontal="center" vertical="center"/>
    </xf>
    <xf numFmtId="0" fontId="18" fillId="32" borderId="26" xfId="0" applyFont="1" applyFill="1" applyBorder="1" applyAlignment="1">
      <alignment horizontal="center" vertical="center"/>
    </xf>
    <xf numFmtId="3" fontId="4" fillId="16" borderId="36" xfId="0" applyNumberFormat="1" applyFont="1" applyFill="1" applyBorder="1" applyAlignment="1">
      <alignment horizontal="center" vertical="center"/>
    </xf>
    <xf numFmtId="3" fontId="4" fillId="16" borderId="37" xfId="0" applyNumberFormat="1" applyFont="1" applyFill="1" applyBorder="1" applyAlignment="1">
      <alignment horizontal="center" vertical="center"/>
    </xf>
    <xf numFmtId="3" fontId="4" fillId="16" borderId="39" xfId="0" applyNumberFormat="1" applyFont="1" applyFill="1" applyBorder="1" applyAlignment="1">
      <alignment horizontal="center" vertical="center"/>
    </xf>
    <xf numFmtId="0" fontId="36" fillId="10" borderId="36" xfId="0" applyFont="1" applyFill="1" applyBorder="1" applyAlignment="1">
      <alignment horizontal="center" vertical="center"/>
    </xf>
    <xf numFmtId="0" fontId="36" fillId="10" borderId="37" xfId="0" applyFont="1" applyFill="1" applyBorder="1" applyAlignment="1">
      <alignment horizontal="center" vertical="center"/>
    </xf>
    <xf numFmtId="0" fontId="36" fillId="10" borderId="39" xfId="0" applyFont="1" applyFill="1" applyBorder="1" applyAlignment="1">
      <alignment horizontal="center" vertical="center"/>
    </xf>
    <xf numFmtId="0" fontId="3" fillId="8" borderId="36" xfId="0" applyFont="1" applyFill="1" applyBorder="1" applyAlignment="1">
      <alignment horizontal="center" vertical="center"/>
    </xf>
    <xf numFmtId="0" fontId="3" fillId="8" borderId="3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37" xfId="0" applyFont="1" applyFill="1" applyBorder="1" applyAlignment="1">
      <alignment horizontal="center" vertical="center"/>
    </xf>
    <xf numFmtId="0" fontId="1" fillId="8" borderId="36" xfId="0" applyFont="1" applyFill="1" applyBorder="1" applyAlignment="1">
      <alignment horizontal="center" vertical="center"/>
    </xf>
    <xf numFmtId="0" fontId="1" fillId="8" borderId="37" xfId="0" applyFont="1" applyFill="1" applyBorder="1" applyAlignment="1">
      <alignment horizontal="center" vertical="center"/>
    </xf>
    <xf numFmtId="0" fontId="42" fillId="17" borderId="36" xfId="0" applyFont="1" applyFill="1" applyBorder="1" applyAlignment="1">
      <alignment horizontal="center" vertical="center"/>
    </xf>
    <xf numFmtId="0" fontId="42" fillId="17" borderId="37" xfId="0" applyFont="1" applyFill="1" applyBorder="1" applyAlignment="1">
      <alignment horizontal="center" vertical="center"/>
    </xf>
    <xf numFmtId="0" fontId="40" fillId="14" borderId="36" xfId="0" applyFont="1" applyFill="1" applyBorder="1" applyAlignment="1">
      <alignment horizontal="center" vertical="center"/>
    </xf>
    <xf numFmtId="0" fontId="40" fillId="14" borderId="37" xfId="0" applyFont="1" applyFill="1" applyBorder="1" applyAlignment="1">
      <alignment horizontal="center" vertical="center"/>
    </xf>
    <xf numFmtId="0" fontId="35" fillId="3" borderId="0" xfId="0" applyFont="1" applyFill="1" applyAlignment="1">
      <alignment horizontal="center" vertical="center"/>
    </xf>
    <xf numFmtId="0" fontId="44" fillId="14" borderId="40" xfId="0" applyFont="1" applyFill="1" applyBorder="1" applyAlignment="1">
      <alignment horizontal="center" vertical="center"/>
    </xf>
    <xf numFmtId="0" fontId="44" fillId="14" borderId="19" xfId="0" applyFont="1" applyFill="1" applyBorder="1" applyAlignment="1">
      <alignment horizontal="center" vertical="center"/>
    </xf>
    <xf numFmtId="0" fontId="44" fillId="14" borderId="54" xfId="0" applyFont="1" applyFill="1" applyBorder="1" applyAlignment="1">
      <alignment horizontal="center" vertical="center"/>
    </xf>
    <xf numFmtId="0" fontId="44" fillId="14" borderId="52" xfId="0" applyFont="1" applyFill="1" applyBorder="1" applyAlignment="1">
      <alignment horizontal="center" vertical="center"/>
    </xf>
    <xf numFmtId="0" fontId="44" fillId="14" borderId="42" xfId="0" applyFont="1" applyFill="1" applyBorder="1" applyAlignment="1">
      <alignment horizontal="center" vertical="center"/>
    </xf>
    <xf numFmtId="0" fontId="44" fillId="14" borderId="20" xfId="0" applyFont="1" applyFill="1" applyBorder="1" applyAlignment="1">
      <alignment horizontal="center" vertical="center"/>
    </xf>
    <xf numFmtId="3" fontId="16" fillId="14" borderId="51" xfId="0" applyNumberFormat="1" applyFont="1" applyFill="1" applyBorder="1" applyAlignment="1">
      <alignment horizontal="center" vertical="center"/>
    </xf>
    <xf numFmtId="3" fontId="16" fillId="32" borderId="51" xfId="0" applyNumberFormat="1" applyFont="1" applyFill="1" applyBorder="1" applyAlignment="1">
      <alignment horizontal="center" vertical="center"/>
    </xf>
    <xf numFmtId="3" fontId="16" fillId="32" borderId="57" xfId="0" applyNumberFormat="1" applyFont="1" applyFill="1" applyBorder="1" applyAlignment="1">
      <alignment horizontal="center" vertical="center"/>
    </xf>
    <xf numFmtId="3" fontId="16" fillId="14" borderId="55" xfId="0" applyNumberFormat="1" applyFont="1" applyFill="1" applyBorder="1" applyAlignment="1">
      <alignment horizontal="center" vertical="center"/>
    </xf>
    <xf numFmtId="3" fontId="16" fillId="14" borderId="19" xfId="0" applyNumberFormat="1" applyFont="1" applyFill="1" applyBorder="1" applyAlignment="1">
      <alignment horizontal="center" vertical="center"/>
    </xf>
    <xf numFmtId="3" fontId="16" fillId="14" borderId="52" xfId="0" applyNumberFormat="1" applyFont="1" applyFill="1" applyBorder="1" applyAlignment="1">
      <alignment horizontal="center" vertical="center"/>
    </xf>
    <xf numFmtId="3" fontId="16" fillId="14" borderId="20" xfId="0" applyNumberFormat="1" applyFont="1" applyFill="1" applyBorder="1" applyAlignment="1">
      <alignment horizontal="center" vertical="center"/>
    </xf>
    <xf numFmtId="3" fontId="23" fillId="14" borderId="41" xfId="0" applyNumberFormat="1" applyFont="1" applyFill="1" applyBorder="1" applyAlignment="1">
      <alignment horizontal="center" vertical="center"/>
    </xf>
    <xf numFmtId="3" fontId="23" fillId="14" borderId="53" xfId="0" applyNumberFormat="1" applyFont="1" applyFill="1" applyBorder="1" applyAlignment="1">
      <alignment horizontal="center" vertical="center"/>
    </xf>
    <xf numFmtId="3" fontId="23" fillId="14" borderId="43" xfId="0" applyNumberFormat="1" applyFont="1" applyFill="1" applyBorder="1" applyAlignment="1">
      <alignment horizontal="center" vertical="center"/>
    </xf>
    <xf numFmtId="0" fontId="31" fillId="4" borderId="28" xfId="0" applyFont="1" applyFill="1" applyBorder="1" applyAlignment="1" applyProtection="1">
      <alignment horizontal="center" vertical="center"/>
      <protection locked="0"/>
    </xf>
    <xf numFmtId="0" fontId="31" fillId="4" borderId="31" xfId="0" applyFont="1" applyFill="1" applyBorder="1" applyAlignment="1" applyProtection="1">
      <alignment horizontal="center" vertical="center"/>
      <protection locked="0"/>
    </xf>
    <xf numFmtId="0" fontId="31" fillId="4" borderId="30" xfId="0" applyFont="1" applyFill="1" applyBorder="1" applyAlignment="1" applyProtection="1">
      <alignment horizontal="center" vertical="center"/>
      <protection locked="0"/>
    </xf>
    <xf numFmtId="0" fontId="31" fillId="4" borderId="32" xfId="0" applyFont="1" applyFill="1" applyBorder="1" applyAlignment="1" applyProtection="1">
      <alignment horizontal="center" vertical="center"/>
      <protection locked="0"/>
    </xf>
    <xf numFmtId="3" fontId="20" fillId="14" borderId="36" xfId="0" applyNumberFormat="1" applyFont="1" applyFill="1" applyBorder="1" applyAlignment="1">
      <alignment horizontal="center" vertical="center"/>
    </xf>
    <xf numFmtId="3" fontId="20" fillId="14" borderId="37" xfId="0" applyNumberFormat="1" applyFont="1" applyFill="1" applyBorder="1" applyAlignment="1">
      <alignment horizontal="center" vertical="center"/>
    </xf>
    <xf numFmtId="3" fontId="20" fillId="14" borderId="38" xfId="0" applyNumberFormat="1" applyFont="1" applyFill="1" applyBorder="1" applyAlignment="1">
      <alignment horizontal="center" vertical="center"/>
    </xf>
    <xf numFmtId="3" fontId="4" fillId="17" borderId="36" xfId="0" applyNumberFormat="1" applyFont="1" applyFill="1" applyBorder="1" applyAlignment="1">
      <alignment horizontal="center" vertical="center"/>
    </xf>
    <xf numFmtId="3" fontId="4" fillId="17" borderId="37" xfId="0" applyNumberFormat="1" applyFont="1" applyFill="1" applyBorder="1" applyAlignment="1">
      <alignment horizontal="center" vertical="center"/>
    </xf>
    <xf numFmtId="3" fontId="4" fillId="17" borderId="39"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xf>
    <xf numFmtId="3" fontId="18" fillId="2" borderId="42" xfId="0" applyNumberFormat="1" applyFont="1" applyFill="1" applyBorder="1" applyAlignment="1">
      <alignment horizontal="center" vertical="center"/>
    </xf>
    <xf numFmtId="164" fontId="18" fillId="2" borderId="19" xfId="0" applyNumberFormat="1" applyFont="1" applyFill="1" applyBorder="1" applyAlignment="1">
      <alignment horizontal="center" vertical="center"/>
    </xf>
    <xf numFmtId="164" fontId="18" fillId="2" borderId="20" xfId="0" applyNumberFormat="1" applyFont="1" applyFill="1" applyBorder="1" applyAlignment="1">
      <alignment horizontal="center" vertical="center"/>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3" fontId="18" fillId="2" borderId="19" xfId="0" applyNumberFormat="1" applyFont="1" applyFill="1" applyBorder="1" applyAlignment="1">
      <alignment horizontal="center" vertical="center"/>
    </xf>
    <xf numFmtId="3" fontId="18" fillId="2" borderId="20" xfId="0" applyNumberFormat="1" applyFont="1" applyFill="1" applyBorder="1" applyAlignment="1">
      <alignment horizontal="center" vertical="center"/>
    </xf>
    <xf numFmtId="0" fontId="18" fillId="2" borderId="41" xfId="0" applyFont="1" applyFill="1" applyBorder="1" applyAlignment="1">
      <alignment horizontal="center" vertical="center"/>
    </xf>
    <xf numFmtId="0" fontId="18" fillId="2" borderId="43" xfId="0" applyFont="1" applyFill="1" applyBorder="1" applyAlignment="1">
      <alignment horizontal="center" vertical="center"/>
    </xf>
    <xf numFmtId="0" fontId="23" fillId="14" borderId="27" xfId="0" applyFont="1" applyFill="1" applyBorder="1" applyAlignment="1">
      <alignment horizontal="center" vertical="center" wrapText="1"/>
    </xf>
    <xf numFmtId="0" fontId="23" fillId="14" borderId="31" xfId="0" applyFont="1" applyFill="1" applyBorder="1" applyAlignment="1">
      <alignment horizontal="center" vertical="center" wrapText="1"/>
    </xf>
    <xf numFmtId="0" fontId="23" fillId="14" borderId="29" xfId="0" applyFont="1" applyFill="1" applyBorder="1" applyAlignment="1">
      <alignment horizontal="center" vertical="center" wrapText="1"/>
    </xf>
    <xf numFmtId="0" fontId="23" fillId="14" borderId="32" xfId="0" applyFont="1" applyFill="1" applyBorder="1" applyAlignment="1">
      <alignment horizontal="center" vertical="center" wrapText="1"/>
    </xf>
    <xf numFmtId="3" fontId="22" fillId="14" borderId="28" xfId="0" applyNumberFormat="1" applyFont="1" applyFill="1" applyBorder="1" applyAlignment="1">
      <alignment horizontal="center" vertical="center"/>
    </xf>
    <xf numFmtId="3" fontId="22" fillId="14" borderId="30" xfId="0" applyNumberFormat="1" applyFont="1" applyFill="1" applyBorder="1" applyAlignment="1">
      <alignment horizontal="center" vertical="center"/>
    </xf>
    <xf numFmtId="0" fontId="15" fillId="14" borderId="31" xfId="0" applyFont="1" applyFill="1" applyBorder="1" applyAlignment="1">
      <alignment horizontal="center" vertical="center"/>
    </xf>
    <xf numFmtId="0" fontId="15" fillId="14" borderId="32" xfId="0" applyFont="1" applyFill="1" applyBorder="1" applyAlignment="1">
      <alignment horizontal="center" vertical="center"/>
    </xf>
    <xf numFmtId="164" fontId="14" fillId="14" borderId="33" xfId="0" applyNumberFormat="1" applyFont="1" applyFill="1" applyBorder="1" applyAlignment="1" applyProtection="1">
      <alignment horizontal="center" vertical="center"/>
      <protection locked="0"/>
    </xf>
    <xf numFmtId="3" fontId="16" fillId="14" borderId="33" xfId="0" applyNumberFormat="1" applyFont="1" applyFill="1" applyBorder="1" applyAlignment="1">
      <alignment horizontal="center" vertical="center"/>
    </xf>
    <xf numFmtId="164" fontId="17" fillId="14" borderId="33" xfId="0" applyNumberFormat="1" applyFont="1" applyFill="1" applyBorder="1" applyAlignment="1">
      <alignment horizontal="center" vertical="center"/>
    </xf>
    <xf numFmtId="0" fontId="23" fillId="4" borderId="27" xfId="0" applyFont="1" applyFill="1" applyBorder="1" applyAlignment="1">
      <alignment horizontal="center" vertical="center"/>
    </xf>
    <xf numFmtId="0" fontId="23" fillId="4" borderId="28" xfId="0" applyFont="1" applyFill="1" applyBorder="1" applyAlignment="1">
      <alignment horizontal="center" vertical="center"/>
    </xf>
    <xf numFmtId="0" fontId="23" fillId="4" borderId="29" xfId="0" applyFont="1" applyFill="1" applyBorder="1" applyAlignment="1">
      <alignment horizontal="center" vertical="center"/>
    </xf>
    <xf numFmtId="0" fontId="23" fillId="4" borderId="30" xfId="0" applyFont="1" applyFill="1" applyBorder="1" applyAlignment="1">
      <alignment horizontal="center" vertical="center"/>
    </xf>
    <xf numFmtId="0" fontId="50" fillId="2" borderId="41" xfId="0" applyFont="1" applyFill="1" applyBorder="1" applyAlignment="1">
      <alignment horizontal="center" vertical="center" readingOrder="2"/>
    </xf>
    <xf numFmtId="0" fontId="50" fillId="2" borderId="43" xfId="0" applyFont="1" applyFill="1" applyBorder="1" applyAlignment="1">
      <alignment horizontal="center" vertical="center" readingOrder="2"/>
    </xf>
    <xf numFmtId="3" fontId="4" fillId="18" borderId="36" xfId="0" applyNumberFormat="1" applyFont="1" applyFill="1" applyBorder="1" applyAlignment="1">
      <alignment horizontal="center" vertical="center"/>
    </xf>
    <xf numFmtId="3" fontId="4" fillId="18" borderId="37" xfId="0" applyNumberFormat="1" applyFont="1" applyFill="1" applyBorder="1" applyAlignment="1">
      <alignment horizontal="center" vertical="center"/>
    </xf>
    <xf numFmtId="3" fontId="4" fillId="18" borderId="39" xfId="0" applyNumberFormat="1" applyFont="1" applyFill="1" applyBorder="1" applyAlignment="1">
      <alignment horizontal="center" vertical="center"/>
    </xf>
    <xf numFmtId="0" fontId="52" fillId="31" borderId="58" xfId="0" applyFont="1" applyFill="1" applyBorder="1" applyAlignment="1" applyProtection="1">
      <alignment horizontal="center" vertical="center" wrapText="1"/>
    </xf>
    <xf numFmtId="0" fontId="52" fillId="31" borderId="59" xfId="0" applyFont="1" applyFill="1" applyBorder="1" applyAlignment="1" applyProtection="1">
      <alignment horizontal="center" vertical="center" wrapText="1"/>
    </xf>
    <xf numFmtId="0" fontId="52" fillId="17" borderId="58" xfId="0" applyFont="1" applyFill="1" applyBorder="1" applyAlignment="1" applyProtection="1">
      <alignment horizontal="center" vertical="center" wrapText="1"/>
    </xf>
    <xf numFmtId="0" fontId="52" fillId="17" borderId="59" xfId="0" applyFont="1" applyFill="1" applyBorder="1" applyAlignment="1" applyProtection="1">
      <alignment horizontal="center" vertical="center" wrapText="1"/>
    </xf>
    <xf numFmtId="0" fontId="1" fillId="10" borderId="41" xfId="0" applyFont="1" applyFill="1" applyBorder="1" applyAlignment="1" applyProtection="1">
      <alignment horizontal="center" vertical="center" wrapText="1"/>
    </xf>
    <xf numFmtId="0" fontId="1" fillId="10" borderId="43"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4" fillId="6" borderId="10" xfId="0" applyFont="1" applyFill="1" applyBorder="1" applyAlignment="1" applyProtection="1">
      <alignment horizontal="center" vertical="center"/>
    </xf>
    <xf numFmtId="0" fontId="4" fillId="6" borderId="11" xfId="0" applyFont="1" applyFill="1" applyBorder="1" applyAlignment="1" applyProtection="1">
      <alignment horizontal="center" vertical="center"/>
    </xf>
    <xf numFmtId="0" fontId="4" fillId="6" borderId="12" xfId="0" applyFont="1" applyFill="1" applyBorder="1" applyAlignment="1" applyProtection="1">
      <alignment horizontal="center" vertical="center"/>
    </xf>
    <xf numFmtId="0" fontId="1" fillId="2" borderId="10" xfId="0"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0" fontId="1" fillId="2" borderId="11" xfId="0" applyFont="1" applyFill="1" applyBorder="1" applyAlignment="1" applyProtection="1">
      <alignment horizontal="center" vertical="center" wrapText="1"/>
    </xf>
    <xf numFmtId="0" fontId="29" fillId="10" borderId="41" xfId="0" applyFont="1" applyFill="1" applyBorder="1" applyAlignment="1" applyProtection="1">
      <alignment horizontal="center" vertical="center" wrapText="1"/>
    </xf>
    <xf numFmtId="0" fontId="29" fillId="10" borderId="43" xfId="0" applyFont="1" applyFill="1" applyBorder="1" applyAlignment="1" applyProtection="1">
      <alignment horizontal="center" vertical="center" wrapText="1"/>
    </xf>
    <xf numFmtId="0" fontId="1" fillId="8" borderId="21" xfId="0" applyFont="1" applyFill="1" applyBorder="1" applyAlignment="1" applyProtection="1">
      <alignment horizontal="center" vertical="center"/>
    </xf>
    <xf numFmtId="0" fontId="1" fillId="8" borderId="37" xfId="0" applyFont="1" applyFill="1" applyBorder="1" applyAlignment="1" applyProtection="1">
      <alignment horizontal="center" vertical="center"/>
    </xf>
    <xf numFmtId="0" fontId="1" fillId="8" borderId="38" xfId="0" applyFont="1" applyFill="1" applyBorder="1" applyAlignment="1" applyProtection="1">
      <alignment horizontal="center" vertical="center"/>
    </xf>
    <xf numFmtId="0" fontId="6" fillId="33" borderId="19" xfId="0" applyFont="1" applyFill="1" applyBorder="1" applyAlignment="1" applyProtection="1">
      <alignment horizontal="center" vertical="center" wrapText="1"/>
    </xf>
    <xf numFmtId="0" fontId="6" fillId="33" borderId="20" xfId="0" applyFont="1" applyFill="1" applyBorder="1" applyAlignment="1" applyProtection="1">
      <alignment horizontal="center" vertical="center" wrapText="1"/>
    </xf>
    <xf numFmtId="0" fontId="7" fillId="14" borderId="36" xfId="0" applyFont="1" applyFill="1" applyBorder="1" applyAlignment="1" applyProtection="1">
      <alignment horizontal="center" vertical="center"/>
    </xf>
    <xf numFmtId="0" fontId="7" fillId="14" borderId="37" xfId="0" applyFont="1" applyFill="1" applyBorder="1" applyAlignment="1" applyProtection="1">
      <alignment horizontal="center" vertical="center"/>
    </xf>
    <xf numFmtId="0" fontId="7" fillId="14" borderId="38" xfId="0" applyFont="1" applyFill="1" applyBorder="1" applyAlignment="1" applyProtection="1">
      <alignment horizontal="center" vertical="center"/>
    </xf>
    <xf numFmtId="0" fontId="1" fillId="2" borderId="13" xfId="0" applyFont="1" applyFill="1" applyBorder="1" applyAlignment="1" applyProtection="1">
      <alignment horizontal="center" vertical="center"/>
    </xf>
    <xf numFmtId="0" fontId="1" fillId="2" borderId="15" xfId="0" applyFont="1" applyFill="1" applyBorder="1" applyAlignment="1" applyProtection="1">
      <alignment horizontal="center" vertical="center"/>
    </xf>
    <xf numFmtId="0" fontId="1" fillId="2" borderId="14" xfId="0" applyFont="1" applyFill="1" applyBorder="1" applyAlignment="1" applyProtection="1">
      <alignment horizontal="center" vertical="center"/>
    </xf>
    <xf numFmtId="0" fontId="1" fillId="2" borderId="16" xfId="0" applyFont="1" applyFill="1" applyBorder="1" applyAlignment="1" applyProtection="1">
      <alignment horizontal="center" vertical="center"/>
    </xf>
    <xf numFmtId="0" fontId="1" fillId="2" borderId="61" xfId="0" applyFont="1" applyFill="1" applyBorder="1" applyAlignment="1" applyProtection="1">
      <alignment horizontal="center" vertical="center"/>
    </xf>
    <xf numFmtId="0" fontId="1" fillId="2" borderId="62" xfId="0" applyFont="1" applyFill="1" applyBorder="1" applyAlignment="1" applyProtection="1">
      <alignment horizontal="center" vertical="center"/>
    </xf>
    <xf numFmtId="0" fontId="1" fillId="2" borderId="14" xfId="0" applyFont="1" applyFill="1" applyBorder="1" applyAlignment="1" applyProtection="1">
      <alignment horizontal="center" vertical="center" wrapText="1"/>
    </xf>
    <xf numFmtId="0" fontId="1" fillId="2" borderId="16"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xf>
    <xf numFmtId="0" fontId="1" fillId="2" borderId="20" xfId="0" applyFont="1" applyFill="1" applyBorder="1" applyAlignment="1" applyProtection="1">
      <alignment horizontal="center" vertical="center"/>
    </xf>
    <xf numFmtId="0" fontId="52" fillId="19" borderId="58" xfId="0" applyFont="1" applyFill="1" applyBorder="1" applyAlignment="1" applyProtection="1">
      <alignment horizontal="center" vertical="center" wrapText="1" readingOrder="2"/>
    </xf>
    <xf numFmtId="0" fontId="52" fillId="19" borderId="59" xfId="0" applyFont="1" applyFill="1" applyBorder="1" applyAlignment="1" applyProtection="1">
      <alignment horizontal="center" vertical="center" wrapText="1" readingOrder="2"/>
    </xf>
    <xf numFmtId="0" fontId="52" fillId="4" borderId="58" xfId="0" applyFont="1" applyFill="1" applyBorder="1" applyAlignment="1" applyProtection="1">
      <alignment horizontal="center" vertical="center" wrapText="1"/>
    </xf>
    <xf numFmtId="0" fontId="52" fillId="4" borderId="59" xfId="0" applyFont="1" applyFill="1" applyBorder="1" applyAlignment="1" applyProtection="1">
      <alignment horizontal="center" vertical="center" wrapText="1"/>
    </xf>
    <xf numFmtId="0" fontId="52" fillId="19" borderId="58" xfId="0" applyFont="1" applyFill="1" applyBorder="1" applyAlignment="1" applyProtection="1">
      <alignment horizontal="center" vertical="center" wrapText="1"/>
    </xf>
    <xf numFmtId="0" fontId="52" fillId="19" borderId="59" xfId="0" applyFont="1" applyFill="1" applyBorder="1" applyAlignment="1" applyProtection="1">
      <alignment horizontal="center" vertical="center" wrapText="1"/>
    </xf>
    <xf numFmtId="3" fontId="5" fillId="6" borderId="59" xfId="0" applyNumberFormat="1" applyFont="1" applyFill="1" applyBorder="1" applyAlignment="1" applyProtection="1">
      <alignment horizontal="center" vertical="center" wrapText="1"/>
      <protection locked="0"/>
    </xf>
    <xf numFmtId="3" fontId="5" fillId="6" borderId="60" xfId="0" applyNumberFormat="1" applyFont="1" applyFill="1" applyBorder="1" applyAlignment="1" applyProtection="1">
      <alignment horizontal="center" vertical="center" wrapText="1"/>
      <protection locked="0"/>
    </xf>
    <xf numFmtId="4" fontId="5" fillId="6" borderId="59" xfId="0" applyNumberFormat="1" applyFont="1" applyFill="1" applyBorder="1" applyAlignment="1" applyProtection="1">
      <alignment horizontal="center" vertical="center" wrapText="1"/>
      <protection locked="0"/>
    </xf>
    <xf numFmtId="4" fontId="5" fillId="6" borderId="60" xfId="0" applyNumberFormat="1" applyFont="1" applyFill="1" applyBorder="1" applyAlignment="1" applyProtection="1">
      <alignment horizontal="center" vertical="center" wrapText="1"/>
      <protection locked="0"/>
    </xf>
    <xf numFmtId="0" fontId="49" fillId="20" borderId="47" xfId="0" applyFont="1" applyFill="1" applyBorder="1" applyAlignment="1" applyProtection="1">
      <alignment horizontal="center" vertical="center" textRotation="90"/>
    </xf>
    <xf numFmtId="0" fontId="49" fillId="20" borderId="48" xfId="0" applyFont="1" applyFill="1" applyBorder="1" applyAlignment="1" applyProtection="1">
      <alignment horizontal="center" vertical="center" textRotation="90"/>
    </xf>
    <xf numFmtId="0" fontId="49" fillId="20" borderId="46" xfId="0" applyFont="1" applyFill="1" applyBorder="1" applyAlignment="1" applyProtection="1">
      <alignment horizontal="center" vertical="center" textRotation="90"/>
    </xf>
    <xf numFmtId="164" fontId="26" fillId="17" borderId="11" xfId="0" applyNumberFormat="1" applyFont="1" applyFill="1" applyBorder="1" applyAlignment="1" applyProtection="1">
      <alignment horizontal="center" vertical="center"/>
    </xf>
    <xf numFmtId="164" fontId="16" fillId="6" borderId="8" xfId="0" applyNumberFormat="1" applyFont="1" applyFill="1" applyBorder="1" applyAlignment="1" applyProtection="1">
      <alignment horizontal="center" vertical="center"/>
    </xf>
    <xf numFmtId="164" fontId="16" fillId="6" borderId="2" xfId="0" applyNumberFormat="1" applyFont="1" applyFill="1" applyBorder="1" applyAlignment="1" applyProtection="1">
      <alignment horizontal="center" vertical="center"/>
    </xf>
    <xf numFmtId="0" fontId="32" fillId="12" borderId="47" xfId="0" applyFont="1" applyFill="1" applyBorder="1" applyAlignment="1" applyProtection="1">
      <alignment horizontal="center" vertical="center" textRotation="90"/>
    </xf>
    <xf numFmtId="0" fontId="32" fillId="12" borderId="48" xfId="0" applyFont="1" applyFill="1" applyBorder="1" applyAlignment="1" applyProtection="1">
      <alignment horizontal="center" vertical="center" textRotation="90"/>
    </xf>
    <xf numFmtId="0" fontId="32" fillId="12" borderId="46" xfId="0" applyFont="1" applyFill="1" applyBorder="1" applyAlignment="1" applyProtection="1">
      <alignment horizontal="center" vertical="center" textRotation="90"/>
    </xf>
    <xf numFmtId="3" fontId="30" fillId="3" borderId="0" xfId="0" applyNumberFormat="1" applyFont="1" applyFill="1" applyBorder="1" applyAlignment="1" applyProtection="1">
      <alignment horizontal="center" vertical="center"/>
    </xf>
    <xf numFmtId="3" fontId="30" fillId="14" borderId="10" xfId="0" applyNumberFormat="1" applyFont="1" applyFill="1" applyBorder="1" applyAlignment="1" applyProtection="1">
      <alignment horizontal="center" vertical="center"/>
    </xf>
    <xf numFmtId="3" fontId="30" fillId="14" borderId="11" xfId="0" applyNumberFormat="1" applyFont="1" applyFill="1" applyBorder="1" applyAlignment="1" applyProtection="1">
      <alignment horizontal="center" vertical="center"/>
    </xf>
    <xf numFmtId="164" fontId="16" fillId="6" borderId="34" xfId="0" applyNumberFormat="1" applyFont="1" applyFill="1" applyBorder="1" applyAlignment="1" applyProtection="1">
      <alignment horizontal="center" vertical="center"/>
    </xf>
    <xf numFmtId="164" fontId="16" fillId="6" borderId="23" xfId="0" applyNumberFormat="1" applyFont="1" applyFill="1" applyBorder="1" applyAlignment="1" applyProtection="1">
      <alignment horizontal="center" vertical="center"/>
    </xf>
    <xf numFmtId="164" fontId="16" fillId="6" borderId="49" xfId="0" applyNumberFormat="1" applyFont="1" applyFill="1" applyBorder="1" applyAlignment="1" applyProtection="1">
      <alignment horizontal="center" vertical="center"/>
    </xf>
    <xf numFmtId="3" fontId="25" fillId="8" borderId="36" xfId="0" applyNumberFormat="1" applyFont="1" applyFill="1" applyBorder="1" applyAlignment="1" applyProtection="1">
      <alignment horizontal="center" vertical="center"/>
    </xf>
    <xf numFmtId="3" fontId="25" fillId="8" borderId="37" xfId="0" applyNumberFormat="1" applyFont="1" applyFill="1" applyBorder="1" applyAlignment="1" applyProtection="1">
      <alignment horizontal="center" vertical="center"/>
    </xf>
    <xf numFmtId="3" fontId="25" fillId="8" borderId="39" xfId="0" applyNumberFormat="1" applyFont="1" applyFill="1" applyBorder="1" applyAlignment="1" applyProtection="1">
      <alignment horizontal="center" vertical="center"/>
    </xf>
    <xf numFmtId="3" fontId="30" fillId="14" borderId="36" xfId="0" applyNumberFormat="1" applyFont="1" applyFill="1" applyBorder="1" applyAlignment="1" applyProtection="1">
      <alignment horizontal="center" vertical="center"/>
    </xf>
    <xf numFmtId="3" fontId="30" fillId="14" borderId="37" xfId="0" applyNumberFormat="1" applyFont="1" applyFill="1" applyBorder="1" applyAlignment="1" applyProtection="1">
      <alignment horizontal="center" vertical="center"/>
    </xf>
    <xf numFmtId="0" fontId="20" fillId="14" borderId="0" xfId="0" applyFont="1" applyFill="1" applyBorder="1" applyAlignment="1" applyProtection="1">
      <alignment horizontal="left" vertical="center" wrapText="1"/>
    </xf>
    <xf numFmtId="0" fontId="28" fillId="14"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164" fontId="14" fillId="3" borderId="0" xfId="0" applyNumberFormat="1" applyFont="1" applyFill="1" applyBorder="1" applyAlignment="1" applyProtection="1">
      <alignment horizontal="center" vertical="center"/>
    </xf>
    <xf numFmtId="3" fontId="16" fillId="3" borderId="0" xfId="0" applyNumberFormat="1" applyFont="1" applyFill="1" applyBorder="1" applyAlignment="1" applyProtection="1">
      <alignment horizontal="center" vertical="center"/>
    </xf>
    <xf numFmtId="164" fontId="17" fillId="3" borderId="0" xfId="0" applyNumberFormat="1" applyFont="1" applyFill="1" applyBorder="1" applyAlignment="1" applyProtection="1">
      <alignment horizontal="center" vertical="center"/>
    </xf>
    <xf numFmtId="3" fontId="1" fillId="22" borderId="0" xfId="0" applyNumberFormat="1" applyFont="1" applyFill="1" applyAlignment="1" applyProtection="1">
      <alignment horizontal="center" vertical="center"/>
    </xf>
    <xf numFmtId="0" fontId="59" fillId="3" borderId="0" xfId="0" applyFont="1" applyFill="1" applyBorder="1" applyAlignment="1">
      <alignment horizontal="center" vertical="center"/>
    </xf>
    <xf numFmtId="0" fontId="58" fillId="34" borderId="0" xfId="0" applyFont="1" applyFill="1" applyBorder="1" applyAlignment="1">
      <alignment horizontal="center" vertical="center"/>
    </xf>
    <xf numFmtId="0" fontId="57" fillId="14" borderId="0" xfId="0" applyFont="1" applyFill="1" applyBorder="1" applyAlignment="1">
      <alignment horizontal="center" vertical="center"/>
    </xf>
    <xf numFmtId="0" fontId="57" fillId="14" borderId="0" xfId="0" applyNumberFormat="1" applyFont="1" applyFill="1" applyBorder="1" applyAlignment="1">
      <alignment horizontal="center"/>
    </xf>
  </cellXfs>
  <cellStyles count="1">
    <cellStyle name="Normal" xfId="0" builtinId="0"/>
  </cellStyles>
  <dxfs count="12">
    <dxf>
      <font>
        <color rgb="FF00B050"/>
      </font>
    </dxf>
    <dxf>
      <font>
        <color rgb="FFC00000"/>
      </font>
    </dxf>
    <dxf>
      <font>
        <color rgb="FF00B050"/>
      </font>
    </dxf>
    <dxf>
      <font>
        <color rgb="FFFF0000"/>
      </font>
    </dxf>
    <dxf>
      <font>
        <color rgb="FFFFFF00"/>
      </font>
    </dxf>
    <dxf>
      <font>
        <color rgb="FF00B050"/>
      </font>
    </dxf>
    <dxf>
      <fill>
        <patternFill>
          <bgColor rgb="FFFF3300"/>
        </patternFill>
      </fill>
    </dxf>
    <dxf>
      <font>
        <color rgb="FFFF0000"/>
      </font>
      <fill>
        <patternFill>
          <bgColor theme="5" tint="0.39994506668294322"/>
        </patternFill>
      </fill>
    </dxf>
    <dxf>
      <font>
        <color rgb="FF00B050"/>
      </font>
      <fill>
        <patternFill>
          <bgColor theme="9" tint="0.39994506668294322"/>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0066"/>
      <color rgb="FF66FF33"/>
      <color rgb="FFFF66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3290334520587E-2"/>
          <c:y val="3.6555966982951479E-2"/>
          <c:w val="0.88211782139672734"/>
          <c:h val="0.75602952899774012"/>
        </c:manualLayout>
      </c:layout>
      <c:lineChart>
        <c:grouping val="standard"/>
        <c:varyColors val="0"/>
        <c:ser>
          <c:idx val="0"/>
          <c:order val="0"/>
          <c:tx>
            <c:v>مجموع کل واریزی‌ها</c:v>
          </c:tx>
          <c:spPr>
            <a:ln w="28575" cap="rnd">
              <a:solidFill>
                <a:srgbClr val="00B050"/>
              </a:solidFill>
              <a:round/>
            </a:ln>
            <a:effectLst/>
          </c:spPr>
          <c:marker>
            <c:symbol val="none"/>
          </c:marker>
          <c:cat>
            <c:strRef>
              <c:f>'عملکرد سالانه'!$C$5:$C$16</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'عملکرد سالانه'!$D$5:$D$16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295-46AD-8634-8589D462F7FB}"/>
            </c:ext>
          </c:extLst>
        </c:ser>
        <c:ser>
          <c:idx val="1"/>
          <c:order val="1"/>
          <c:tx>
            <c:v>مجموع کل هزینه‌ها</c:v>
          </c:tx>
          <c:spPr>
            <a:ln w="28575" cap="rnd">
              <a:solidFill>
                <a:srgbClr val="FF0000"/>
              </a:solidFill>
              <a:round/>
            </a:ln>
            <a:effectLst/>
          </c:spPr>
          <c:marker>
            <c:symbol val="none"/>
          </c:marker>
          <c:cat>
            <c:strRef>
              <c:f>'عملکرد سالانه'!$C$5:$C$16</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'عملکرد سالانه'!$E$5:$E$16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295-46AD-8634-8589D462F7FB}"/>
            </c:ext>
          </c:extLst>
        </c:ser>
        <c:dLbls>
          <c:showLegendKey val="0"/>
          <c:showVal val="0"/>
          <c:showCatName val="0"/>
          <c:showSerName val="0"/>
          <c:showPercent val="0"/>
          <c:showBubbleSize val="0"/>
        </c:dLbls>
        <c:smooth val="0"/>
        <c:axId val="399167663"/>
        <c:axId val="399175567"/>
      </c:lineChart>
      <c:catAx>
        <c:axId val="3991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175567"/>
        <c:crosses val="autoZero"/>
        <c:auto val="1"/>
        <c:lblAlgn val="ctr"/>
        <c:lblOffset val="100"/>
        <c:noMultiLvlLbl val="0"/>
      </c:catAx>
      <c:valAx>
        <c:axId val="3991755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167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5679742511597356E-2"/>
          <c:y val="3.0803069635033865E-2"/>
          <c:w val="0.91801608044990313"/>
          <c:h val="0.86775261635521728"/>
        </c:manualLayout>
      </c:layout>
      <c:bar3DChart>
        <c:barDir val="col"/>
        <c:grouping val="standard"/>
        <c:varyColors val="0"/>
        <c:ser>
          <c:idx val="1"/>
          <c:order val="1"/>
          <c:spPr>
            <a:solidFill>
              <a:srgbClr val="66FF33"/>
            </a:solidFill>
            <a:ln>
              <a:noFill/>
            </a:ln>
            <a:effectLst/>
            <a:sp3d/>
          </c:spPr>
          <c:invertIfNegative val="0"/>
          <c:cat>
            <c:strRef>
              <c:f>'عملکرد سالانه'!$C$24:$C$27</c:f>
              <c:strCache>
                <c:ptCount val="4"/>
                <c:pt idx="0">
                  <c:v>شارژ ماهانه</c:v>
                </c:pt>
                <c:pt idx="1">
                  <c:v>سهم قبض آب</c:v>
                </c:pt>
                <c:pt idx="2">
                  <c:v>حق ورودی</c:v>
                </c:pt>
                <c:pt idx="3">
                  <c:v>واریزی‌های متفرقه</c:v>
                </c:pt>
              </c:strCache>
            </c:strRef>
          </c:cat>
          <c:val>
            <c:numRef>
              <c:f>'عملکرد سالانه'!$E$24:$E$27</c:f>
              <c:numCache>
                <c:formatCode>#,##0</c:formatCode>
                <c:ptCount val="4"/>
                <c:pt idx="0">
                  <c:v>0</c:v>
                </c:pt>
                <c:pt idx="1">
                  <c:v>0</c:v>
                </c:pt>
                <c:pt idx="2">
                  <c:v>0</c:v>
                </c:pt>
                <c:pt idx="3">
                  <c:v>0</c:v>
                </c:pt>
              </c:numCache>
            </c:numRef>
          </c:val>
          <c:shape val="cylinder"/>
          <c:extLst>
            <c:ext xmlns:c16="http://schemas.microsoft.com/office/drawing/2014/chart" uri="{C3380CC4-5D6E-409C-BE32-E72D297353CC}">
              <c16:uniqueId val="{00000001-8758-4C17-BBE1-EDA7DC379BA2}"/>
            </c:ext>
          </c:extLst>
        </c:ser>
        <c:dLbls>
          <c:showLegendKey val="0"/>
          <c:showVal val="0"/>
          <c:showCatName val="0"/>
          <c:showSerName val="0"/>
          <c:showPercent val="0"/>
          <c:showBubbleSize val="0"/>
        </c:dLbls>
        <c:gapWidth val="150"/>
        <c:gapDepth val="0"/>
        <c:shape val="box"/>
        <c:axId val="260704512"/>
        <c:axId val="260714912"/>
        <c:axId val="374361904"/>
        <c:extLst>
          <c:ext xmlns:c15="http://schemas.microsoft.com/office/drawing/2012/chart" uri="{02D57815-91ED-43cb-92C2-25804820EDAC}">
            <c15:filteredBarSeries>
              <c15:ser>
                <c:idx val="0"/>
                <c:order val="0"/>
                <c:spPr>
                  <a:gradFill>
                    <a:gsLst>
                      <a:gs pos="100000">
                        <a:schemeClr val="accent1">
                          <a:alpha val="0"/>
                        </a:schemeClr>
                      </a:gs>
                      <a:gs pos="50000">
                        <a:schemeClr val="accent1"/>
                      </a:gs>
                    </a:gsLst>
                    <a:lin ang="5400000" scaled="0"/>
                  </a:gradFill>
                  <a:ln>
                    <a:noFill/>
                  </a:ln>
                  <a:effectLst/>
                  <a:sp3d/>
                </c:spPr>
                <c:invertIfNegative val="0"/>
                <c:cat>
                  <c:strRef>
                    <c:extLst>
                      <c:ext uri="{02D57815-91ED-43cb-92C2-25804820EDAC}">
                        <c15:formulaRef>
                          <c15:sqref>'عملکرد سالانه'!$C$24:$C$27</c15:sqref>
                        </c15:formulaRef>
                      </c:ext>
                    </c:extLst>
                    <c:strCache>
                      <c:ptCount val="4"/>
                      <c:pt idx="0">
                        <c:v>شارژ ماهانه</c:v>
                      </c:pt>
                      <c:pt idx="1">
                        <c:v>سهم قبض آب</c:v>
                      </c:pt>
                      <c:pt idx="2">
                        <c:v>حق ورودی</c:v>
                      </c:pt>
                      <c:pt idx="3">
                        <c:v>واریزی‌های متفرقه</c:v>
                      </c:pt>
                    </c:strCache>
                  </c:strRef>
                </c:cat>
                <c:val>
                  <c:numRef>
                    <c:extLst>
                      <c:ext uri="{02D57815-91ED-43cb-92C2-25804820EDAC}">
                        <c15:formulaRef>
                          <c15:sqref>'عملکرد سالانه'!$D$24:$D$27</c15:sqref>
                        </c15:formulaRef>
                      </c:ext>
                    </c:extLst>
                    <c:numCache>
                      <c:formatCode>[$-960429]dddd\,\ d\ mmmm\ yyyy;@</c:formatCode>
                      <c:ptCount val="4"/>
                    </c:numCache>
                  </c:numRef>
                </c:val>
                <c:extLst>
                  <c:ext xmlns:c16="http://schemas.microsoft.com/office/drawing/2014/chart" uri="{C3380CC4-5D6E-409C-BE32-E72D297353CC}">
                    <c16:uniqueId val="{00000000-8758-4C17-BBE1-EDA7DC379BA2}"/>
                  </c:ext>
                </c:extLst>
              </c15:ser>
            </c15:filteredBarSeries>
          </c:ext>
        </c:extLst>
      </c:bar3DChart>
      <c:catAx>
        <c:axId val="26070451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260714912"/>
        <c:crosses val="autoZero"/>
        <c:auto val="1"/>
        <c:lblAlgn val="ctr"/>
        <c:lblOffset val="100"/>
        <c:noMultiLvlLbl val="0"/>
      </c:catAx>
      <c:valAx>
        <c:axId val="260714912"/>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260704512"/>
        <c:crosses val="autoZero"/>
        <c:crossBetween val="between"/>
      </c:valAx>
      <c:serAx>
        <c:axId val="374361904"/>
        <c:scaling>
          <c:orientation val="minMax"/>
        </c:scaling>
        <c:delete val="1"/>
        <c:axPos val="b"/>
        <c:majorTickMark val="none"/>
        <c:minorTickMark val="none"/>
        <c:tickLblPos val="nextTo"/>
        <c:crossAx val="260714912"/>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196896561336886E-2"/>
          <c:y val="2.00501305889739E-2"/>
          <c:w val="0.91059192230187336"/>
          <c:h val="0.8499808181821531"/>
        </c:manualLayout>
      </c:layout>
      <c:bar3DChart>
        <c:barDir val="col"/>
        <c:grouping val="standard"/>
        <c:varyColors val="0"/>
        <c:ser>
          <c:idx val="1"/>
          <c:order val="1"/>
          <c:spPr>
            <a:solidFill>
              <a:srgbClr val="FF0000"/>
            </a:solidFill>
            <a:ln>
              <a:noFill/>
            </a:ln>
            <a:effectLst/>
            <a:sp3d/>
          </c:spPr>
          <c:invertIfNegative val="0"/>
          <c:cat>
            <c:strRef>
              <c:f>'عملکرد سالانه'!$C$31:$C$38</c:f>
              <c:strCache>
                <c:ptCount val="8"/>
                <c:pt idx="0">
                  <c:v>قبض آب</c:v>
                </c:pt>
                <c:pt idx="1">
                  <c:v>قبض برق</c:v>
                </c:pt>
                <c:pt idx="2">
                  <c:v>نظافت مجتمع</c:v>
                </c:pt>
                <c:pt idx="3">
                  <c:v>اقلام مصرفی</c:v>
                </c:pt>
                <c:pt idx="4">
                  <c:v>سرویس آسانسور</c:v>
                </c:pt>
                <c:pt idx="5">
                  <c:v>تعمیرات مجتمع</c:v>
                </c:pt>
                <c:pt idx="6">
                  <c:v>بیمه مجتمع</c:v>
                </c:pt>
                <c:pt idx="7">
                  <c:v>هزینه‌های متفرقه</c:v>
                </c:pt>
              </c:strCache>
            </c:strRef>
          </c:cat>
          <c:val>
            <c:numRef>
              <c:f>'عملکرد سالانه'!$E$31:$E$38</c:f>
              <c:numCache>
                <c:formatCode>#,##0</c:formatCode>
                <c:ptCount val="8"/>
                <c:pt idx="0">
                  <c:v>0</c:v>
                </c:pt>
                <c:pt idx="1">
                  <c:v>0</c:v>
                </c:pt>
                <c:pt idx="2">
                  <c:v>0</c:v>
                </c:pt>
                <c:pt idx="3">
                  <c:v>0</c:v>
                </c:pt>
                <c:pt idx="4">
                  <c:v>0</c:v>
                </c:pt>
                <c:pt idx="5">
                  <c:v>0</c:v>
                </c:pt>
                <c:pt idx="6">
                  <c:v>0</c:v>
                </c:pt>
                <c:pt idx="7">
                  <c:v>0</c:v>
                </c:pt>
              </c:numCache>
            </c:numRef>
          </c:val>
          <c:shape val="cylinder"/>
          <c:extLst>
            <c:ext xmlns:c16="http://schemas.microsoft.com/office/drawing/2014/chart" uri="{C3380CC4-5D6E-409C-BE32-E72D297353CC}">
              <c16:uniqueId val="{00000001-D959-43EC-825D-A1371BA8F64B}"/>
            </c:ext>
          </c:extLst>
        </c:ser>
        <c:dLbls>
          <c:showLegendKey val="0"/>
          <c:showVal val="0"/>
          <c:showCatName val="0"/>
          <c:showSerName val="0"/>
          <c:showPercent val="0"/>
          <c:showBubbleSize val="0"/>
        </c:dLbls>
        <c:gapWidth val="150"/>
        <c:gapDepth val="0"/>
        <c:shape val="box"/>
        <c:axId val="1811886079"/>
        <c:axId val="1811886495"/>
        <c:axId val="1810340111"/>
        <c:extLst>
          <c:ext xmlns:c15="http://schemas.microsoft.com/office/drawing/2012/chart" uri="{02D57815-91ED-43cb-92C2-25804820EDAC}">
            <c15:filteredBarSeries>
              <c15:ser>
                <c:idx val="0"/>
                <c:order val="0"/>
                <c:spPr>
                  <a:gradFill>
                    <a:gsLst>
                      <a:gs pos="100000">
                        <a:schemeClr val="accent1">
                          <a:alpha val="0"/>
                        </a:schemeClr>
                      </a:gs>
                      <a:gs pos="50000">
                        <a:schemeClr val="accent1"/>
                      </a:gs>
                    </a:gsLst>
                    <a:lin ang="5400000" scaled="0"/>
                  </a:gradFill>
                  <a:ln>
                    <a:noFill/>
                  </a:ln>
                  <a:effectLst/>
                  <a:sp3d/>
                </c:spPr>
                <c:invertIfNegative val="0"/>
                <c:cat>
                  <c:strRef>
                    <c:extLst>
                      <c:ext uri="{02D57815-91ED-43cb-92C2-25804820EDAC}">
                        <c15:formulaRef>
                          <c15:sqref>'عملکرد سالانه'!$C$31:$C$38</c15:sqref>
                        </c15:formulaRef>
                      </c:ext>
                    </c:extLst>
                    <c:strCache>
                      <c:ptCount val="8"/>
                      <c:pt idx="0">
                        <c:v>قبض آب</c:v>
                      </c:pt>
                      <c:pt idx="1">
                        <c:v>قبض برق</c:v>
                      </c:pt>
                      <c:pt idx="2">
                        <c:v>نظافت مجتمع</c:v>
                      </c:pt>
                      <c:pt idx="3">
                        <c:v>اقلام مصرفی</c:v>
                      </c:pt>
                      <c:pt idx="4">
                        <c:v>سرویس آسانسور</c:v>
                      </c:pt>
                      <c:pt idx="5">
                        <c:v>تعمیرات مجتمع</c:v>
                      </c:pt>
                      <c:pt idx="6">
                        <c:v>بیمه مجتمع</c:v>
                      </c:pt>
                      <c:pt idx="7">
                        <c:v>هزینه‌های متفرقه</c:v>
                      </c:pt>
                    </c:strCache>
                  </c:strRef>
                </c:cat>
                <c:val>
                  <c:numRef>
                    <c:extLst>
                      <c:ext uri="{02D57815-91ED-43cb-92C2-25804820EDAC}">
                        <c15:formulaRef>
                          <c15:sqref>'عملکرد سالانه'!$D$31:$D$38</c15:sqref>
                        </c15:formulaRef>
                      </c:ext>
                    </c:extLst>
                    <c:numCache>
                      <c:formatCode>[$-960429]dddd\,\ d\ mmmm\ yyyy;@</c:formatCode>
                      <c:ptCount val="8"/>
                    </c:numCache>
                  </c:numRef>
                </c:val>
                <c:extLst>
                  <c:ext xmlns:c16="http://schemas.microsoft.com/office/drawing/2014/chart" uri="{C3380CC4-5D6E-409C-BE32-E72D297353CC}">
                    <c16:uniqueId val="{00000000-D959-43EC-825D-A1371BA8F64B}"/>
                  </c:ext>
                </c:extLst>
              </c15:ser>
            </c15:filteredBarSeries>
          </c:ext>
        </c:extLst>
      </c:bar3DChart>
      <c:catAx>
        <c:axId val="181188607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1811886495"/>
        <c:crosses val="autoZero"/>
        <c:auto val="1"/>
        <c:lblAlgn val="ctr"/>
        <c:lblOffset val="100"/>
        <c:noMultiLvlLbl val="0"/>
      </c:catAx>
      <c:valAx>
        <c:axId val="1811886495"/>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886079"/>
        <c:crosses val="autoZero"/>
        <c:crossBetween val="between"/>
      </c:valAx>
      <c:serAx>
        <c:axId val="1810340111"/>
        <c:scaling>
          <c:orientation val="minMax"/>
        </c:scaling>
        <c:delete val="1"/>
        <c:axPos val="b"/>
        <c:majorTickMark val="none"/>
        <c:minorTickMark val="none"/>
        <c:tickLblPos val="nextTo"/>
        <c:crossAx val="1811886495"/>
        <c:crosses val="autoZero"/>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51954</xdr:colOff>
      <xdr:row>5</xdr:row>
      <xdr:rowOff>0</xdr:rowOff>
    </xdr:from>
    <xdr:to>
      <xdr:col>14</xdr:col>
      <xdr:colOff>865</xdr:colOff>
      <xdr:row>17</xdr:row>
      <xdr:rowOff>9524</xdr:rowOff>
    </xdr:to>
    <xdr:graphicFrame macro="">
      <xdr:nvGraphicFramePr>
        <xdr:cNvPr id="4" name="نمودار 3">
          <a:extLst>
            <a:ext uri="{FF2B5EF4-FFF2-40B4-BE49-F238E27FC236}">
              <a16:creationId xmlns:a16="http://schemas.microsoft.com/office/drawing/2014/main" id="{8D0073DC-616F-407B-BC4E-7FE5D23BF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51954</xdr:colOff>
      <xdr:row>21</xdr:row>
      <xdr:rowOff>28575</xdr:rowOff>
    </xdr:from>
    <xdr:to>
      <xdr:col>12</xdr:col>
      <xdr:colOff>510887</xdr:colOff>
      <xdr:row>29</xdr:row>
      <xdr:rowOff>9526</xdr:rowOff>
    </xdr:to>
    <xdr:graphicFrame macro="">
      <xdr:nvGraphicFramePr>
        <xdr:cNvPr id="2" name="نمودار 1">
          <a:extLst>
            <a:ext uri="{FF2B5EF4-FFF2-40B4-BE49-F238E27FC236}">
              <a16:creationId xmlns:a16="http://schemas.microsoft.com/office/drawing/2014/main" id="{97B604B0-D17D-425C-AB93-6A8987B029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51954</xdr:colOff>
      <xdr:row>28</xdr:row>
      <xdr:rowOff>0</xdr:rowOff>
    </xdr:from>
    <xdr:to>
      <xdr:col>12</xdr:col>
      <xdr:colOff>510887</xdr:colOff>
      <xdr:row>41</xdr:row>
      <xdr:rowOff>114300</xdr:rowOff>
    </xdr:to>
    <xdr:graphicFrame macro="">
      <xdr:nvGraphicFramePr>
        <xdr:cNvPr id="3" name="نمودار 2">
          <a:extLst>
            <a:ext uri="{FF2B5EF4-FFF2-40B4-BE49-F238E27FC236}">
              <a16:creationId xmlns:a16="http://schemas.microsoft.com/office/drawing/2014/main" id="{01CBE943-1E62-4FE5-9EA4-E16D6624BB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47</xdr:row>
      <xdr:rowOff>28575</xdr:rowOff>
    </xdr:from>
    <xdr:to>
      <xdr:col>20</xdr:col>
      <xdr:colOff>200025</xdr:colOff>
      <xdr:row>76</xdr:row>
      <xdr:rowOff>99060</xdr:rowOff>
    </xdr:to>
    <xdr:pic>
      <xdr:nvPicPr>
        <xdr:cNvPr id="3" name="Picture 2">
          <a:extLst>
            <a:ext uri="{FF2B5EF4-FFF2-40B4-BE49-F238E27FC236}">
              <a16:creationId xmlns:a16="http://schemas.microsoft.com/office/drawing/2014/main" id="{8E6BEB34-1B3C-45F5-895D-9D8DEFFF76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294375" y="9172575"/>
          <a:ext cx="12239625" cy="5594985"/>
        </a:xfrm>
        <a:prstGeom prst="rect">
          <a:avLst/>
        </a:prstGeom>
        <a:ln>
          <a:noFill/>
        </a:ln>
        <a:effectLst>
          <a:softEdge rad="112500"/>
        </a:effectLst>
      </xdr:spPr>
    </xdr:pic>
    <xdr:clientData/>
  </xdr:twoCellAnchor>
  <xdr:twoCellAnchor editAs="oneCell">
    <xdr:from>
      <xdr:col>0</xdr:col>
      <xdr:colOff>0</xdr:colOff>
      <xdr:row>0</xdr:row>
      <xdr:rowOff>9525</xdr:rowOff>
    </xdr:from>
    <xdr:to>
      <xdr:col>20</xdr:col>
      <xdr:colOff>95250</xdr:colOff>
      <xdr:row>22</xdr:row>
      <xdr:rowOff>9524</xdr:rowOff>
    </xdr:to>
    <xdr:pic>
      <xdr:nvPicPr>
        <xdr:cNvPr id="5" name="Picture 4">
          <a:extLst>
            <a:ext uri="{FF2B5EF4-FFF2-40B4-BE49-F238E27FC236}">
              <a16:creationId xmlns:a16="http://schemas.microsoft.com/office/drawing/2014/main" id="{1DCCE708-4F39-48CD-B3F4-61C058B9A3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5399150" y="9525"/>
          <a:ext cx="12287250" cy="4190999"/>
        </a:xfrm>
        <a:prstGeom prst="rect">
          <a:avLst/>
        </a:prstGeom>
        <a:ln>
          <a:noFill/>
        </a:ln>
        <a:effectLst>
          <a:softEdge rad="112500"/>
        </a:effectLst>
      </xdr:spPr>
    </xdr:pic>
    <xdr:clientData/>
  </xdr:twoCellAnchor>
  <xdr:twoCellAnchor>
    <xdr:from>
      <xdr:col>2</xdr:col>
      <xdr:colOff>257175</xdr:colOff>
      <xdr:row>32</xdr:row>
      <xdr:rowOff>111900</xdr:rowOff>
    </xdr:from>
    <xdr:to>
      <xdr:col>18</xdr:col>
      <xdr:colOff>438150</xdr:colOff>
      <xdr:row>45</xdr:row>
      <xdr:rowOff>18600</xdr:rowOff>
    </xdr:to>
    <xdr:grpSp>
      <xdr:nvGrpSpPr>
        <xdr:cNvPr id="2" name="Group 1">
          <a:extLst>
            <a:ext uri="{FF2B5EF4-FFF2-40B4-BE49-F238E27FC236}">
              <a16:creationId xmlns:a16="http://schemas.microsoft.com/office/drawing/2014/main" id="{E5C71800-B74E-46CC-9166-350CF9E83B8E}"/>
            </a:ext>
          </a:extLst>
        </xdr:cNvPr>
        <xdr:cNvGrpSpPr/>
      </xdr:nvGrpSpPr>
      <xdr:grpSpPr>
        <a:xfrm>
          <a:off x="9976275450" y="6207900"/>
          <a:ext cx="9934575" cy="2449875"/>
          <a:chOff x="9976275450" y="6360300"/>
          <a:chExt cx="9934575" cy="2383200"/>
        </a:xfrm>
      </xdr:grpSpPr>
      <xdr:pic>
        <xdr:nvPicPr>
          <xdr:cNvPr id="7" name="Picture 6">
            <a:extLst>
              <a:ext uri="{FF2B5EF4-FFF2-40B4-BE49-F238E27FC236}">
                <a16:creationId xmlns:a16="http://schemas.microsoft.com/office/drawing/2014/main" id="{2945C449-AEF0-4F54-94AC-4F9C0B653C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rot="362743">
            <a:off x="9983828775" y="6361275"/>
            <a:ext cx="2381250" cy="2381250"/>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pic>
        <xdr:nvPicPr>
          <xdr:cNvPr id="13" name="Picture 12">
            <a:extLst>
              <a:ext uri="{FF2B5EF4-FFF2-40B4-BE49-F238E27FC236}">
                <a16:creationId xmlns:a16="http://schemas.microsoft.com/office/drawing/2014/main" id="{1D943A89-4DAF-472C-965C-2CA64C3528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76275450" y="6360300"/>
            <a:ext cx="2383200" cy="2383200"/>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pic>
        <xdr:nvPicPr>
          <xdr:cNvPr id="15" name="Picture 14">
            <a:extLst>
              <a:ext uri="{FF2B5EF4-FFF2-40B4-BE49-F238E27FC236}">
                <a16:creationId xmlns:a16="http://schemas.microsoft.com/office/drawing/2014/main" id="{27DE8090-7C9C-4725-8DF2-7AF2E73BCF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80052113" y="6360300"/>
            <a:ext cx="2383200" cy="2383200"/>
          </a:xfrm>
          <a:prstGeom prst="roundRect">
            <a:avLst>
              <a:gd name="adj" fmla="val 7067"/>
            </a:avLst>
          </a:prstGeom>
          <a:ln>
            <a:noFill/>
          </a:ln>
          <a:effectLst>
            <a:outerShdw blurRad="152400" dist="12000" dir="900000" sy="98000" kx="110000" ky="200000" algn="tl" rotWithShape="0">
              <a:srgbClr val="000000">
                <a:alpha val="30000"/>
              </a:srgbClr>
            </a:outerShdw>
          </a:effectLst>
          <a:scene3d>
            <a:camera prst="perspectiveRelaxed" fov="6000000">
              <a:rot lat="19799999" lon="1200000" rev="20399999"/>
            </a:camera>
            <a:lightRig rig="threePt" dir="t"/>
          </a:scene3d>
          <a:sp3d contourW="6350" prstMaterial="matte">
            <a:bevelT w="101600" h="101600"/>
            <a:contourClr>
              <a:srgbClr val="969696"/>
            </a:contourClr>
          </a:sp3d>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2CC4-DEBE-44F3-A54A-9A16E840AD57}">
  <sheetPr codeName="Sheet1">
    <tabColor rgb="FFFFFF00"/>
  </sheetPr>
  <dimension ref="B1:N21"/>
  <sheetViews>
    <sheetView showGridLines="0" rightToLeft="1" tabSelected="1" zoomScaleNormal="100" workbookViewId="0">
      <selection activeCell="F5" sqref="F5"/>
    </sheetView>
  </sheetViews>
  <sheetFormatPr defaultColWidth="9" defaultRowHeight="24.95" customHeight="1" x14ac:dyDescent="0.25"/>
  <cols>
    <col min="1" max="1" width="1.7109375" style="1" customWidth="1"/>
    <col min="2" max="2" width="7.7109375" style="63" customWidth="1"/>
    <col min="3" max="4" width="10.7109375" style="1" customWidth="1"/>
    <col min="5" max="6" width="17.7109375" style="1" customWidth="1"/>
    <col min="7" max="7" width="15.7109375" style="1" customWidth="1"/>
    <col min="8" max="8" width="17.7109375" style="1" customWidth="1"/>
    <col min="9" max="9" width="15.7109375" style="1" customWidth="1"/>
    <col min="10" max="10" width="18.7109375" style="1" customWidth="1"/>
    <col min="11" max="11" width="15.7109375" style="1" customWidth="1"/>
    <col min="12" max="12" width="17.7109375" style="1" customWidth="1"/>
    <col min="13" max="13" width="19.7109375" style="1" customWidth="1"/>
    <col min="14" max="16" width="8.5703125" style="1" customWidth="1"/>
    <col min="17" max="16384" width="9" style="1"/>
  </cols>
  <sheetData>
    <row r="1" spans="2:14" ht="7.5" customHeight="1" thickBot="1" x14ac:dyDescent="0.3"/>
    <row r="2" spans="2:14" ht="31.5" customHeight="1" thickTop="1" thickBot="1" x14ac:dyDescent="0.3">
      <c r="B2" s="235" t="s">
        <v>131</v>
      </c>
      <c r="C2" s="236"/>
      <c r="D2" s="236"/>
      <c r="E2" s="236"/>
      <c r="F2" s="236"/>
      <c r="G2" s="236"/>
      <c r="H2" s="236"/>
      <c r="I2" s="236"/>
      <c r="J2" s="236"/>
      <c r="K2" s="236"/>
      <c r="L2" s="236"/>
      <c r="M2" s="237"/>
      <c r="N2" s="65"/>
    </row>
    <row r="3" spans="2:14" ht="13.5" customHeight="1" thickTop="1" thickBot="1" x14ac:dyDescent="0.3"/>
    <row r="4" spans="2:14" ht="30" customHeight="1" thickTop="1" thickBot="1" x14ac:dyDescent="0.3">
      <c r="B4" s="238" t="s">
        <v>103</v>
      </c>
      <c r="C4" s="239"/>
      <c r="D4" s="239"/>
      <c r="E4" s="239"/>
      <c r="F4" s="239"/>
      <c r="G4" s="239"/>
      <c r="H4" s="239"/>
      <c r="I4" s="239"/>
      <c r="J4" s="239"/>
      <c r="K4" s="239"/>
      <c r="L4" s="239"/>
      <c r="M4" s="240"/>
    </row>
    <row r="5" spans="2:14" ht="30" customHeight="1" thickTop="1" thickBot="1" x14ac:dyDescent="0.3">
      <c r="B5" s="241" t="s">
        <v>128</v>
      </c>
      <c r="C5" s="242"/>
      <c r="D5" s="242"/>
      <c r="E5" s="242"/>
      <c r="F5" s="93">
        <v>0</v>
      </c>
      <c r="G5" s="245" t="s">
        <v>151</v>
      </c>
      <c r="H5" s="246"/>
      <c r="I5" s="246"/>
      <c r="J5" s="93">
        <v>0</v>
      </c>
      <c r="K5" s="245" t="s">
        <v>118</v>
      </c>
      <c r="L5" s="246"/>
      <c r="M5" s="94">
        <v>0</v>
      </c>
    </row>
    <row r="6" spans="2:14" ht="12.75" customHeight="1" thickTop="1" thickBot="1" x14ac:dyDescent="0.3"/>
    <row r="7" spans="2:14" ht="39.950000000000003" customHeight="1" thickTop="1" thickBot="1" x14ac:dyDescent="0.3">
      <c r="B7" s="249" t="s">
        <v>104</v>
      </c>
      <c r="C7" s="250"/>
      <c r="D7" s="250"/>
      <c r="E7" s="250"/>
      <c r="F7" s="68">
        <f>واریزی‌ها!$J$4-هزینه‌ها!$J$4</f>
        <v>0</v>
      </c>
      <c r="G7" s="243" t="str">
        <f>"طلب ریالی مجتمع از واحدها تا "&amp;$E$9&amp;" ماه سال "&amp;$F$9&amp;" :"</f>
        <v>طلب ریالی مجتمع از واحدها تا فروردین ماه سال 1400 :</v>
      </c>
      <c r="H7" s="244"/>
      <c r="I7" s="244"/>
      <c r="J7" s="67">
        <f>M15</f>
        <v>0</v>
      </c>
      <c r="K7" s="247" t="s">
        <v>102</v>
      </c>
      <c r="L7" s="248"/>
      <c r="M7" s="67">
        <f>COUNTIF(M12:M14,"&gt;"&amp;0)</f>
        <v>0</v>
      </c>
    </row>
    <row r="8" spans="2:14" ht="15.75" customHeight="1" thickTop="1" x14ac:dyDescent="0.25"/>
    <row r="9" spans="2:14" ht="24.95" customHeight="1" thickBot="1" x14ac:dyDescent="0.3">
      <c r="B9" s="251" t="s">
        <v>96</v>
      </c>
      <c r="C9" s="251"/>
      <c r="D9" s="251"/>
      <c r="E9" s="95" t="s">
        <v>53</v>
      </c>
      <c r="F9" s="96">
        <v>1400</v>
      </c>
      <c r="G9" s="66" t="s">
        <v>95</v>
      </c>
    </row>
    <row r="10" spans="2:14" ht="5.25" customHeight="1" thickBot="1" x14ac:dyDescent="0.3"/>
    <row r="11" spans="2:14" ht="45.75" customHeight="1" thickTop="1" thickBot="1" x14ac:dyDescent="0.3">
      <c r="B11" s="59" t="s">
        <v>0</v>
      </c>
      <c r="C11" s="60" t="s">
        <v>1</v>
      </c>
      <c r="D11" s="60" t="s">
        <v>2</v>
      </c>
      <c r="E11" s="61" t="s">
        <v>152</v>
      </c>
      <c r="F11" s="61" t="s">
        <v>99</v>
      </c>
      <c r="G11" s="61" t="s">
        <v>97</v>
      </c>
      <c r="H11" s="61" t="s">
        <v>100</v>
      </c>
      <c r="I11" s="61" t="s">
        <v>98</v>
      </c>
      <c r="J11" s="61" t="s">
        <v>119</v>
      </c>
      <c r="K11" s="61" t="s">
        <v>120</v>
      </c>
      <c r="L11" s="61" t="s">
        <v>101</v>
      </c>
      <c r="M11" s="189" t="s">
        <v>105</v>
      </c>
    </row>
    <row r="12" spans="2:14" ht="24.95" customHeight="1" thickTop="1" x14ac:dyDescent="0.25">
      <c r="B12" s="190">
        <v>1</v>
      </c>
      <c r="C12" s="191" t="str">
        <f>'مشخصات واحدها'!B2</f>
        <v>اوّل</v>
      </c>
      <c r="D12" s="192">
        <f>'مشخصات واحدها'!C2</f>
        <v>101</v>
      </c>
      <c r="E12" s="193">
        <v>0</v>
      </c>
      <c r="F12" s="194">
        <f t="shared" ref="F12:F14" si="0">ROUND(_xlfn.IFS(OR($E$9="فروردین",$E$9="اردیبهشت",$E$9="خرداد",$E$9="تیر",$E$9="مرداد",$E$9="شهریور"),((E12*$J$5)/31)+(((31-E12)*$F$5)/31),OR($E$9="مهر",$E$9="آبان",$E$9="آذر",$E$9="دی",$E$9="بهمن"),((E12*$J$5)/30)+(((30-E12)*$F$5)/30),OR($E$9="اسفند"),IF(MOD($F$9,4)=3,((E12*$J$5)/30)+(((30-E12)*$F$5)/30),((E12*$J$5)/29)+(((29-E12)*$F$5)/29)))/1000,0)*1000</f>
        <v>0</v>
      </c>
      <c r="G12" s="195" t="s">
        <v>38</v>
      </c>
      <c r="H12" s="196" t="str">
        <f>آب‌بها!$N13</f>
        <v>-</v>
      </c>
      <c r="I12" s="197" t="s">
        <v>38</v>
      </c>
      <c r="J12" s="198">
        <f>$M$5</f>
        <v>0</v>
      </c>
      <c r="K12" s="199" t="s">
        <v>38</v>
      </c>
      <c r="L12" s="200">
        <v>0</v>
      </c>
      <c r="M12" s="201">
        <f>IF(G12="پرداخت شده",0,F12)+IF(ISNUMBER(H12),IF(I12="پرداخت شده",0,H12),0)+IF(K12="پرداخت شده",0,J12)+L12</f>
        <v>0</v>
      </c>
    </row>
    <row r="13" spans="2:14" ht="24.95" customHeight="1" x14ac:dyDescent="0.25">
      <c r="B13" s="62">
        <v>2</v>
      </c>
      <c r="C13" s="202" t="str">
        <f>'مشخصات واحدها'!B3</f>
        <v>دوم</v>
      </c>
      <c r="D13" s="203">
        <f>'مشخصات واحدها'!C3</f>
        <v>201</v>
      </c>
      <c r="E13" s="204">
        <v>0</v>
      </c>
      <c r="F13" s="205">
        <f t="shared" si="0"/>
        <v>0</v>
      </c>
      <c r="G13" s="206" t="s">
        <v>38</v>
      </c>
      <c r="H13" s="207" t="str">
        <f>آب‌بها!$N14</f>
        <v>-</v>
      </c>
      <c r="I13" s="208" t="s">
        <v>38</v>
      </c>
      <c r="J13" s="209">
        <f t="shared" ref="J13:J14" si="1">$M$5</f>
        <v>0</v>
      </c>
      <c r="K13" s="210" t="s">
        <v>38</v>
      </c>
      <c r="L13" s="211">
        <v>0</v>
      </c>
      <c r="M13" s="212">
        <f t="shared" ref="M13:M14" si="2">IF(G13="پرداخت شده",0,F13)+IF(ISNUMBER(H13),IF(I13="پرداخت شده",0,H13),0)+IF(K13="پرداخت شده",0,J13)+L13</f>
        <v>0</v>
      </c>
    </row>
    <row r="14" spans="2:14" ht="24.95" customHeight="1" thickBot="1" x14ac:dyDescent="0.3">
      <c r="B14" s="213">
        <v>3</v>
      </c>
      <c r="C14" s="214" t="str">
        <f>'مشخصات واحدها'!B4</f>
        <v>سوم</v>
      </c>
      <c r="D14" s="215">
        <f>'مشخصات واحدها'!C4</f>
        <v>301</v>
      </c>
      <c r="E14" s="216">
        <v>0</v>
      </c>
      <c r="F14" s="217">
        <f t="shared" si="0"/>
        <v>0</v>
      </c>
      <c r="G14" s="218" t="s">
        <v>38</v>
      </c>
      <c r="H14" s="219" t="str">
        <f>آب‌بها!$N15</f>
        <v>-</v>
      </c>
      <c r="I14" s="220" t="s">
        <v>38</v>
      </c>
      <c r="J14" s="221">
        <f t="shared" si="1"/>
        <v>0</v>
      </c>
      <c r="K14" s="222" t="s">
        <v>38</v>
      </c>
      <c r="L14" s="223">
        <v>0</v>
      </c>
      <c r="M14" s="224">
        <f t="shared" si="2"/>
        <v>0</v>
      </c>
    </row>
    <row r="15" spans="2:14" ht="12.95" customHeight="1" thickTop="1" x14ac:dyDescent="0.25">
      <c r="B15" s="252" t="s">
        <v>108</v>
      </c>
      <c r="C15" s="253"/>
      <c r="D15" s="253"/>
      <c r="E15" s="253"/>
      <c r="F15" s="230" t="s">
        <v>106</v>
      </c>
      <c r="G15" s="261">
        <f>SUMIF(G12:G14,"پرداخت شده",F12:F14)</f>
        <v>0</v>
      </c>
      <c r="H15" s="230" t="s">
        <v>106</v>
      </c>
      <c r="I15" s="261">
        <f>SUMIF(I12:I14,"پرداخت شده",H12:H14)</f>
        <v>0</v>
      </c>
      <c r="J15" s="230" t="s">
        <v>106</v>
      </c>
      <c r="K15" s="261">
        <f>SUMIF(K12:K14,"پرداخت شده",J12:J14)</f>
        <v>0</v>
      </c>
      <c r="L15" s="262">
        <f>SUM(L12:L14)</f>
        <v>0</v>
      </c>
      <c r="M15" s="265">
        <f>SUM(M12:M14)</f>
        <v>0</v>
      </c>
    </row>
    <row r="16" spans="2:14" ht="12.95" customHeight="1" x14ac:dyDescent="0.25">
      <c r="B16" s="254"/>
      <c r="C16" s="255"/>
      <c r="D16" s="255"/>
      <c r="E16" s="255"/>
      <c r="F16" s="231"/>
      <c r="G16" s="258"/>
      <c r="H16" s="231"/>
      <c r="I16" s="258"/>
      <c r="J16" s="231"/>
      <c r="K16" s="258"/>
      <c r="L16" s="263"/>
      <c r="M16" s="266"/>
    </row>
    <row r="17" spans="2:13" ht="12.95" customHeight="1" x14ac:dyDescent="0.25">
      <c r="B17" s="254"/>
      <c r="C17" s="255"/>
      <c r="D17" s="255"/>
      <c r="E17" s="255"/>
      <c r="F17" s="232" t="s">
        <v>107</v>
      </c>
      <c r="G17" s="258">
        <f>SUMIF(G12:G14,"پرداخت نشده",F12:F14)</f>
        <v>0</v>
      </c>
      <c r="H17" s="232" t="s">
        <v>107</v>
      </c>
      <c r="I17" s="258">
        <f>SUMIF(I12:I14,"پرداخت نشده",H12:H14)</f>
        <v>0</v>
      </c>
      <c r="J17" s="232" t="s">
        <v>107</v>
      </c>
      <c r="K17" s="258">
        <f>SUMIF(K12:K14,"پرداخت نشده",J12:J14)</f>
        <v>0</v>
      </c>
      <c r="L17" s="263"/>
      <c r="M17" s="266"/>
    </row>
    <row r="18" spans="2:13" ht="12.95" customHeight="1" x14ac:dyDescent="0.25">
      <c r="B18" s="254"/>
      <c r="C18" s="255"/>
      <c r="D18" s="255"/>
      <c r="E18" s="255"/>
      <c r="F18" s="232"/>
      <c r="G18" s="258"/>
      <c r="H18" s="232"/>
      <c r="I18" s="258"/>
      <c r="J18" s="232"/>
      <c r="K18" s="258"/>
      <c r="L18" s="263"/>
      <c r="M18" s="266"/>
    </row>
    <row r="19" spans="2:13" ht="12.95" customHeight="1" x14ac:dyDescent="0.25">
      <c r="B19" s="254"/>
      <c r="C19" s="255"/>
      <c r="D19" s="255"/>
      <c r="E19" s="255"/>
      <c r="F19" s="233" t="s">
        <v>129</v>
      </c>
      <c r="G19" s="259">
        <f>SUM(F12:F14)</f>
        <v>0</v>
      </c>
      <c r="H19" s="233" t="s">
        <v>129</v>
      </c>
      <c r="I19" s="259">
        <f>SUM(H12:H14)</f>
        <v>0</v>
      </c>
      <c r="J19" s="233" t="s">
        <v>129</v>
      </c>
      <c r="K19" s="259">
        <f>SUM(J12:J14)</f>
        <v>0</v>
      </c>
      <c r="L19" s="263"/>
      <c r="M19" s="266"/>
    </row>
    <row r="20" spans="2:13" ht="12.95" customHeight="1" thickBot="1" x14ac:dyDescent="0.3">
      <c r="B20" s="256"/>
      <c r="C20" s="257"/>
      <c r="D20" s="257"/>
      <c r="E20" s="257"/>
      <c r="F20" s="234"/>
      <c r="G20" s="260"/>
      <c r="H20" s="234"/>
      <c r="I20" s="260"/>
      <c r="J20" s="234"/>
      <c r="K20" s="260"/>
      <c r="L20" s="264"/>
      <c r="M20" s="267"/>
    </row>
    <row r="21" spans="2:13" ht="24.95" customHeight="1" thickTop="1" x14ac:dyDescent="0.25"/>
  </sheetData>
  <sheetProtection algorithmName="SHA-512" hashValue="xiHeSJSCxyhUmOG0/CwEj4AW4i5Kfy1i7VynPfZOmPhKSmtCdEBMimKTNqyZXtRQmJ0WU6Joxw8scltkOq0m+w==" saltValue="3WnPq1hYBdarbxa8phpy/Q==" spinCount="100000" sheet="1" objects="1" scenarios="1" selectLockedCells="1"/>
  <mergeCells count="30">
    <mergeCell ref="L15:L20"/>
    <mergeCell ref="M15:M20"/>
    <mergeCell ref="K15:K16"/>
    <mergeCell ref="K17:K18"/>
    <mergeCell ref="K19:K20"/>
    <mergeCell ref="H17:H18"/>
    <mergeCell ref="H19:H20"/>
    <mergeCell ref="I15:I16"/>
    <mergeCell ref="F15:F16"/>
    <mergeCell ref="G15:G16"/>
    <mergeCell ref="F17:F18"/>
    <mergeCell ref="G17:G18"/>
    <mergeCell ref="F19:F20"/>
    <mergeCell ref="G19:G20"/>
    <mergeCell ref="J15:J16"/>
    <mergeCell ref="J17:J18"/>
    <mergeCell ref="J19:J20"/>
    <mergeCell ref="B2:M2"/>
    <mergeCell ref="B4:M4"/>
    <mergeCell ref="B5:E5"/>
    <mergeCell ref="G7:I7"/>
    <mergeCell ref="G5:I5"/>
    <mergeCell ref="K5:L5"/>
    <mergeCell ref="K7:L7"/>
    <mergeCell ref="B7:E7"/>
    <mergeCell ref="B9:D9"/>
    <mergeCell ref="B15:E20"/>
    <mergeCell ref="I17:I18"/>
    <mergeCell ref="I19:I20"/>
    <mergeCell ref="H15:H16"/>
  </mergeCells>
  <conditionalFormatting sqref="F7">
    <cfRule type="cellIs" dxfId="11" priority="5" stopIfTrue="1" operator="lessThanOrEqual">
      <formula>0</formula>
    </cfRule>
  </conditionalFormatting>
  <conditionalFormatting sqref="J7">
    <cfRule type="cellIs" dxfId="10" priority="6" stopIfTrue="1" operator="greaterThan">
      <formula>0</formula>
    </cfRule>
  </conditionalFormatting>
  <conditionalFormatting sqref="M7">
    <cfRule type="cellIs" dxfId="9" priority="7" operator="greaterThan">
      <formula>0</formula>
    </cfRule>
  </conditionalFormatting>
  <conditionalFormatting sqref="I12:I14 G12:G14 K12:K14">
    <cfRule type="containsText" dxfId="8" priority="3" stopIfTrue="1" operator="containsText" text="پرداخت شده">
      <formula>NOT(ISERROR(SEARCH("پرداخت شده",G12)))</formula>
    </cfRule>
    <cfRule type="containsText" dxfId="7" priority="4" operator="containsText" text="پرداخت نشده">
      <formula>NOT(ISERROR(SEARCH("پرداخت نشده",G12)))</formula>
    </cfRule>
  </conditionalFormatting>
  <conditionalFormatting sqref="M12:M14">
    <cfRule type="colorScale" priority="65">
      <colorScale>
        <cfvo type="min"/>
        <cfvo type="num" val="0"/>
        <cfvo type="max"/>
        <color rgb="FF00B050"/>
        <color rgb="FFFFFF00"/>
        <color rgb="FFFF0000"/>
      </colorScale>
    </cfRule>
  </conditionalFormatting>
  <dataValidations count="3">
    <dataValidation type="whole" operator="greaterThanOrEqual" showErrorMessage="1" errorTitle="خطا در ورود اطلاعات!" error="مبلغ مندرج باید عددی غیر اعشاری و نامنفی باشد." sqref="M5 F5 J5" xr:uid="{966D3CAF-600F-4C7C-83FF-8CB313CB6AA3}">
      <formula1>0</formula1>
    </dataValidation>
    <dataValidation type="whole" showInputMessage="1" showErrorMessage="1" errorTitle="خطا در ورود اطلاعات!" error="تعداد روزهای مندرج باید عددی بین 0 تا 29 ، 30 یا 31 (بسته به ماهِ سال) باشد." sqref="E12:E14" xr:uid="{CB16E5E4-FB34-48E7-8410-B92C73CC8F36}">
      <formula1>0</formula1>
      <formula2>31</formula2>
    </dataValidation>
    <dataValidation type="whole" operator="notEqual" showInputMessage="1" showErrorMessage="1" errorTitle="خطا در ورود اطلاعات!" error="مبلغ مندرج باید عددی غیر اعشاری باشد." sqref="L12:L14" xr:uid="{EBD09059-D85A-4B16-A356-62483E3B087C}">
      <formula1>8.71123436302458E+26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showInputMessage="1" showErrorMessage="1" errorTitle="خطا در ورود اطلاعات!" error="لطفاً یکی از گزینه‌های لیست شده را انتخاب نمایید." xr:uid="{A436D093-B2AA-4B88-8CD6-FE5A0D272635}">
          <x14:formula1>
            <xm:f>پارامترها!$G$2:$G$13</xm:f>
          </x14:formula1>
          <xm:sqref>E9</xm:sqref>
        </x14:dataValidation>
        <x14:dataValidation type="list" showInputMessage="1" showErrorMessage="1" errorTitle="خطا در ورود اطلاعات!" error="لطفاً یکی از گزینه‌های لیست شده را انتخاب نمایید." xr:uid="{1BBB19B3-C395-407D-88D6-829FBBFAD58D}">
          <x14:formula1>
            <xm:f>پارامترها!$H$2:$H$13</xm:f>
          </x14:formula1>
          <xm:sqref>F9</xm:sqref>
        </x14:dataValidation>
        <x14:dataValidation type="list" showInputMessage="1" showErrorMessage="1" errorTitle="خطا در ورود اطلاعات!" error="لطفاً یکی از گزینه‌های لیست شده را انتخاب نمایید." xr:uid="{8A8E1A4D-6919-448E-86B5-AC105F8E2B9C}">
          <x14:formula1>
            <xm:f>پارامترها!$D$2:$D$3</xm:f>
          </x14:formula1>
          <xm:sqref>G12:G14 I12:I14 K12:K14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1B25B-36E2-4C17-98A2-D9B64C4B8FE0}">
  <sheetPr codeName="Sheet2">
    <tabColor rgb="FF00B050"/>
  </sheetPr>
  <dimension ref="B1:L27"/>
  <sheetViews>
    <sheetView showGridLines="0" rightToLeft="1" workbookViewId="0">
      <pane ySplit="5" topLeftCell="A6" activePane="bottomLeft" state="frozen"/>
      <selection activeCell="F5" sqref="F5"/>
      <selection pane="bottomLeft" activeCell="C6" sqref="C6"/>
    </sheetView>
  </sheetViews>
  <sheetFormatPr defaultColWidth="9" defaultRowHeight="22.5" customHeight="1" x14ac:dyDescent="0.25"/>
  <cols>
    <col min="1" max="1" width="1.7109375" style="1" customWidth="1"/>
    <col min="2" max="2" width="8.7109375" style="32" customWidth="1"/>
    <col min="3" max="3" width="25.7109375" style="33" customWidth="1"/>
    <col min="4" max="4" width="20.7109375" style="1" customWidth="1"/>
    <col min="5" max="5" width="20.7109375" style="32" customWidth="1"/>
    <col min="6" max="6" width="50.7109375" style="1" customWidth="1"/>
    <col min="7" max="7" width="1.7109375" style="1" customWidth="1"/>
    <col min="8" max="9" width="10.7109375" style="1" customWidth="1"/>
    <col min="10" max="11" width="13.7109375" style="1" customWidth="1"/>
    <col min="12" max="12" width="7.7109375" style="1" customWidth="1"/>
    <col min="13" max="16384" width="9" style="1"/>
  </cols>
  <sheetData>
    <row r="1" spans="2:12" ht="7.5" customHeight="1" thickBot="1" x14ac:dyDescent="0.3"/>
    <row r="2" spans="2:12" ht="31.5" customHeight="1" thickTop="1" thickBot="1" x14ac:dyDescent="0.3">
      <c r="B2" s="275" t="s">
        <v>132</v>
      </c>
      <c r="C2" s="276"/>
      <c r="D2" s="276"/>
      <c r="E2" s="276"/>
      <c r="F2" s="276"/>
      <c r="G2" s="276"/>
      <c r="H2" s="276"/>
      <c r="I2" s="276"/>
      <c r="J2" s="276"/>
      <c r="K2" s="276"/>
      <c r="L2" s="277"/>
    </row>
    <row r="3" spans="2:12" ht="12.75" customHeight="1" thickTop="1" thickBot="1" x14ac:dyDescent="0.3"/>
    <row r="4" spans="2:12" ht="22.5" customHeight="1" thickTop="1" x14ac:dyDescent="0.25">
      <c r="B4" s="278" t="s">
        <v>43</v>
      </c>
      <c r="C4" s="280" t="s">
        <v>44</v>
      </c>
      <c r="D4" s="282" t="s">
        <v>50</v>
      </c>
      <c r="E4" s="284" t="s">
        <v>51</v>
      </c>
      <c r="F4" s="286" t="s">
        <v>45</v>
      </c>
      <c r="H4" s="288" t="s">
        <v>52</v>
      </c>
      <c r="I4" s="289"/>
      <c r="J4" s="292">
        <f>SUM(E6:E25)</f>
        <v>0</v>
      </c>
      <c r="K4" s="292"/>
      <c r="L4" s="294" t="s">
        <v>41</v>
      </c>
    </row>
    <row r="5" spans="2:12" ht="22.5" customHeight="1" thickBot="1" x14ac:dyDescent="0.3">
      <c r="B5" s="279"/>
      <c r="C5" s="281"/>
      <c r="D5" s="283"/>
      <c r="E5" s="285"/>
      <c r="F5" s="287"/>
      <c r="H5" s="290"/>
      <c r="I5" s="291"/>
      <c r="J5" s="293"/>
      <c r="K5" s="293"/>
      <c r="L5" s="295"/>
    </row>
    <row r="6" spans="2:12" ht="22.5" customHeight="1" thickTop="1" thickBot="1" x14ac:dyDescent="0.3">
      <c r="B6" s="38">
        <f>ROW()-5</f>
        <v>1</v>
      </c>
      <c r="C6" s="54"/>
      <c r="D6" s="106"/>
      <c r="E6" s="103"/>
      <c r="F6" s="101" t="s">
        <v>35</v>
      </c>
      <c r="H6" s="34"/>
      <c r="I6" s="34"/>
      <c r="J6" s="35"/>
      <c r="K6" s="35"/>
      <c r="L6" s="36"/>
    </row>
    <row r="7" spans="2:12" ht="22.5" customHeight="1" thickTop="1" x14ac:dyDescent="0.25">
      <c r="B7" s="38">
        <f t="shared" ref="B7:B24" si="0">ROW()-5</f>
        <v>2</v>
      </c>
      <c r="C7" s="56"/>
      <c r="D7" s="106"/>
      <c r="E7" s="104"/>
      <c r="F7" s="102" t="s">
        <v>35</v>
      </c>
      <c r="H7" s="299" t="s">
        <v>85</v>
      </c>
      <c r="I7" s="300"/>
      <c r="J7" s="300"/>
      <c r="K7" s="268" t="s">
        <v>83</v>
      </c>
      <c r="L7" s="269"/>
    </row>
    <row r="8" spans="2:12" ht="22.5" customHeight="1" thickBot="1" x14ac:dyDescent="0.3">
      <c r="B8" s="38">
        <f t="shared" si="0"/>
        <v>3</v>
      </c>
      <c r="C8" s="56"/>
      <c r="D8" s="106"/>
      <c r="E8" s="104"/>
      <c r="F8" s="102" t="s">
        <v>35</v>
      </c>
      <c r="H8" s="301"/>
      <c r="I8" s="302"/>
      <c r="J8" s="302"/>
      <c r="K8" s="270"/>
      <c r="L8" s="271"/>
    </row>
    <row r="9" spans="2:12" ht="22.5" customHeight="1" thickTop="1" thickBot="1" x14ac:dyDescent="0.3">
      <c r="B9" s="38">
        <f t="shared" si="0"/>
        <v>4</v>
      </c>
      <c r="C9" s="56"/>
      <c r="D9" s="106"/>
      <c r="E9" s="104"/>
      <c r="F9" s="102" t="s">
        <v>35</v>
      </c>
      <c r="H9" s="37" t="s">
        <v>39</v>
      </c>
      <c r="I9" s="296"/>
      <c r="J9" s="296"/>
      <c r="K9" s="297">
        <f>IF(K7="",0,IF(K7="کلیه‌ی واریزی‌ها",SUMIFS(E:E,C:C,"&gt;="&amp;I9,C:C,"&lt;="&amp;I10),SUMIFS(E:E,D:D,K7,C:C,"&gt;="&amp;I9,C:C,"&lt;="&amp;I10)))</f>
        <v>0</v>
      </c>
      <c r="L9" s="297"/>
    </row>
    <row r="10" spans="2:12" ht="22.5" customHeight="1" thickTop="1" thickBot="1" x14ac:dyDescent="0.3">
      <c r="B10" s="38">
        <f t="shared" si="0"/>
        <v>5</v>
      </c>
      <c r="C10" s="56"/>
      <c r="D10" s="106"/>
      <c r="E10" s="104"/>
      <c r="F10" s="102" t="s">
        <v>35</v>
      </c>
      <c r="H10" s="37" t="s">
        <v>40</v>
      </c>
      <c r="I10" s="296"/>
      <c r="J10" s="296"/>
      <c r="K10" s="298" t="s">
        <v>42</v>
      </c>
      <c r="L10" s="298"/>
    </row>
    <row r="11" spans="2:12" ht="22.5" customHeight="1" thickTop="1" x14ac:dyDescent="0.25">
      <c r="B11" s="38">
        <f t="shared" si="0"/>
        <v>6</v>
      </c>
      <c r="C11" s="56"/>
      <c r="D11" s="106"/>
      <c r="E11" s="104"/>
      <c r="F11" s="102" t="s">
        <v>35</v>
      </c>
    </row>
    <row r="12" spans="2:12" ht="22.5" customHeight="1" x14ac:dyDescent="0.25">
      <c r="B12" s="38">
        <f t="shared" si="0"/>
        <v>7</v>
      </c>
      <c r="C12" s="56"/>
      <c r="D12" s="106"/>
      <c r="E12" s="104"/>
      <c r="F12" s="102" t="s">
        <v>35</v>
      </c>
    </row>
    <row r="13" spans="2:12" ht="22.5" customHeight="1" x14ac:dyDescent="0.25">
      <c r="B13" s="38">
        <f t="shared" si="0"/>
        <v>8</v>
      </c>
      <c r="C13" s="56"/>
      <c r="D13" s="106"/>
      <c r="E13" s="104"/>
      <c r="F13" s="102" t="s">
        <v>35</v>
      </c>
    </row>
    <row r="14" spans="2:12" ht="22.5" customHeight="1" x14ac:dyDescent="0.25">
      <c r="B14" s="38">
        <f t="shared" si="0"/>
        <v>9</v>
      </c>
      <c r="C14" s="56"/>
      <c r="D14" s="106"/>
      <c r="E14" s="104"/>
      <c r="F14" s="102" t="s">
        <v>35</v>
      </c>
    </row>
    <row r="15" spans="2:12" ht="22.5" customHeight="1" x14ac:dyDescent="0.25">
      <c r="B15" s="38">
        <f t="shared" si="0"/>
        <v>10</v>
      </c>
      <c r="C15" s="56"/>
      <c r="D15" s="106"/>
      <c r="E15" s="104"/>
      <c r="F15" s="102" t="s">
        <v>35</v>
      </c>
    </row>
    <row r="16" spans="2:12" ht="22.5" customHeight="1" x14ac:dyDescent="0.25">
      <c r="B16" s="38">
        <f t="shared" si="0"/>
        <v>11</v>
      </c>
      <c r="C16" s="56"/>
      <c r="D16" s="106"/>
      <c r="E16" s="104"/>
      <c r="F16" s="102" t="s">
        <v>35</v>
      </c>
    </row>
    <row r="17" spans="2:6" ht="22.5" customHeight="1" x14ac:dyDescent="0.25">
      <c r="B17" s="38">
        <f t="shared" si="0"/>
        <v>12</v>
      </c>
      <c r="C17" s="56"/>
      <c r="D17" s="106"/>
      <c r="E17" s="104"/>
      <c r="F17" s="102" t="s">
        <v>35</v>
      </c>
    </row>
    <row r="18" spans="2:6" ht="22.5" customHeight="1" x14ac:dyDescent="0.25">
      <c r="B18" s="38">
        <f t="shared" si="0"/>
        <v>13</v>
      </c>
      <c r="C18" s="56"/>
      <c r="D18" s="106"/>
      <c r="E18" s="104"/>
      <c r="F18" s="102" t="s">
        <v>35</v>
      </c>
    </row>
    <row r="19" spans="2:6" ht="22.5" customHeight="1" x14ac:dyDescent="0.25">
      <c r="B19" s="38">
        <f t="shared" si="0"/>
        <v>14</v>
      </c>
      <c r="C19" s="56"/>
      <c r="D19" s="106"/>
      <c r="E19" s="104"/>
      <c r="F19" s="102" t="s">
        <v>35</v>
      </c>
    </row>
    <row r="20" spans="2:6" ht="22.5" customHeight="1" x14ac:dyDescent="0.25">
      <c r="B20" s="38">
        <f t="shared" si="0"/>
        <v>15</v>
      </c>
      <c r="C20" s="56"/>
      <c r="D20" s="106"/>
      <c r="E20" s="104"/>
      <c r="F20" s="102" t="s">
        <v>35</v>
      </c>
    </row>
    <row r="21" spans="2:6" ht="22.5" customHeight="1" x14ac:dyDescent="0.25">
      <c r="B21" s="38">
        <f t="shared" si="0"/>
        <v>16</v>
      </c>
      <c r="C21" s="56"/>
      <c r="D21" s="106"/>
      <c r="E21" s="104"/>
      <c r="F21" s="102" t="s">
        <v>35</v>
      </c>
    </row>
    <row r="22" spans="2:6" ht="22.5" customHeight="1" x14ac:dyDescent="0.25">
      <c r="B22" s="38">
        <f t="shared" si="0"/>
        <v>17</v>
      </c>
      <c r="C22" s="56"/>
      <c r="D22" s="106"/>
      <c r="E22" s="104"/>
      <c r="F22" s="102" t="s">
        <v>35</v>
      </c>
    </row>
    <row r="23" spans="2:6" ht="22.5" customHeight="1" x14ac:dyDescent="0.25">
      <c r="B23" s="38">
        <f t="shared" si="0"/>
        <v>18</v>
      </c>
      <c r="C23" s="56"/>
      <c r="D23" s="106"/>
      <c r="E23" s="104"/>
      <c r="F23" s="102" t="s">
        <v>35</v>
      </c>
    </row>
    <row r="24" spans="2:6" ht="22.5" customHeight="1" x14ac:dyDescent="0.25">
      <c r="B24" s="38">
        <f t="shared" si="0"/>
        <v>19</v>
      </c>
      <c r="C24" s="56"/>
      <c r="D24" s="106"/>
      <c r="E24" s="104"/>
      <c r="F24" s="102" t="s">
        <v>35</v>
      </c>
    </row>
    <row r="25" spans="2:6" ht="22.5" customHeight="1" thickBot="1" x14ac:dyDescent="0.3">
      <c r="B25" s="38">
        <f t="shared" ref="B25" si="1">ROW()-5</f>
        <v>20</v>
      </c>
      <c r="C25" s="56"/>
      <c r="D25" s="106"/>
      <c r="E25" s="105"/>
      <c r="F25" s="102" t="s">
        <v>35</v>
      </c>
    </row>
    <row r="26" spans="2:6" ht="39.75" customHeight="1" thickTop="1" thickBot="1" x14ac:dyDescent="0.3">
      <c r="B26" s="272" t="s">
        <v>46</v>
      </c>
      <c r="C26" s="273"/>
      <c r="D26" s="274"/>
      <c r="E26" s="40">
        <f>SUM(E6:E25)</f>
        <v>0</v>
      </c>
      <c r="F26" s="39" t="s">
        <v>47</v>
      </c>
    </row>
    <row r="27" spans="2:6" ht="22.5" customHeight="1" thickTop="1" x14ac:dyDescent="0.25"/>
  </sheetData>
  <sheetProtection algorithmName="SHA-512" hashValue="URd0BBPrV0RiA4Lkt88FtI+qZO/6ZRC4p+vi3+L+3Mt45bZn1YaBD+OUAoAx5TL0vYAdMZp6VXwjA/c+AkXVnA==" saltValue="/YcIKDbFbS8bGIvfgCorhA==" spinCount="100000" sheet="1" objects="1" scenarios="1" selectLockedCells="1"/>
  <mergeCells count="16">
    <mergeCell ref="K7:L8"/>
    <mergeCell ref="B26:D26"/>
    <mergeCell ref="B2:L2"/>
    <mergeCell ref="B4:B5"/>
    <mergeCell ref="C4:C5"/>
    <mergeCell ref="D4:D5"/>
    <mergeCell ref="E4:E5"/>
    <mergeCell ref="F4:F5"/>
    <mergeCell ref="H4:I5"/>
    <mergeCell ref="J4:K5"/>
    <mergeCell ref="L4:L5"/>
    <mergeCell ref="I9:J9"/>
    <mergeCell ref="K9:L9"/>
    <mergeCell ref="I10:J10"/>
    <mergeCell ref="K10:L10"/>
    <mergeCell ref="H7:J8"/>
  </mergeCells>
  <conditionalFormatting sqref="E6:E25">
    <cfRule type="dataBar" priority="66">
      <dataBar>
        <cfvo type="min"/>
        <cfvo type="max"/>
        <color rgb="FF00B050"/>
      </dataBar>
      <extLst>
        <ext xmlns:x14="http://schemas.microsoft.com/office/spreadsheetml/2009/9/main" uri="{B025F937-C7B1-47D3-B67F-A62EFF666E3E}">
          <x14:id>{A2383197-9F50-4A0D-B034-49C9D82FD757}</x14:id>
        </ext>
      </extLst>
    </cfRule>
  </conditionalFormatting>
  <dataValidations count="3">
    <dataValidation showInputMessage="1" showErrorMessage="1" sqref="C6" xr:uid="{5C2CDB06-8E96-48EA-AB9E-ADA39A4EF6D2}"/>
    <dataValidation type="date" operator="greaterThanOrEqual" showInputMessage="1" showErrorMessage="1" errorTitle="خطا در درج تاریخ!" error="تاریخ مد نظر، نباید کمتر از تاریخ درج شده‌ی قبلی باشد!" sqref="I10:J10 C7:C25" xr:uid="{AF0830D4-AAD5-4A0E-A698-D3B5A72E213D}">
      <formula1>C6</formula1>
    </dataValidation>
    <dataValidation type="whole" operator="greaterThanOrEqual" showInputMessage="1" showErrorMessage="1" errorTitle="خطا در ورود اطلاعات!" error="مبلغ مندرج باید عددی غیر اعشاری و نامنفی باشد." sqref="E6:E25" xr:uid="{F0FF8723-90E0-4251-9EE3-F4AC996EB139}">
      <formula1>0</formula1>
    </dataValidation>
  </dataValidations>
  <pageMargins left="0.7" right="0.7" top="0.75" bottom="0.75" header="0.3" footer="0.3"/>
  <pageSetup orientation="portrait" copies="0" r:id="rId1"/>
  <legacyDrawing r:id="rId2"/>
  <extLst>
    <ext xmlns:x14="http://schemas.microsoft.com/office/spreadsheetml/2009/9/main" uri="{78C0D931-6437-407d-A8EE-F0AAD7539E65}">
      <x14:conditionalFormattings>
        <x14:conditionalFormatting xmlns:xm="http://schemas.microsoft.com/office/excel/2006/main">
          <x14:cfRule type="dataBar" id="{A2383197-9F50-4A0D-B034-49C9D82FD757}">
            <x14:dataBar minLength="0" maxLength="100" gradient="0">
              <x14:cfvo type="autoMin"/>
              <x14:cfvo type="autoMax"/>
              <x14:negativeFillColor rgb="FFFF0000"/>
              <x14:axisColor rgb="FF000000"/>
            </x14:dataBar>
          </x14:cfRule>
          <xm:sqref>E6:E25</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Title="خطا در ورود اطلاعات!" error="لطفاً یکی از گزینه‌های لیست شده را انتخاب نمایید." xr:uid="{6B853FC5-5910-4B9D-9E0E-92EB98139FBF}">
          <x14:formula1>
            <xm:f>پارامترها!$E$2:$E$6</xm:f>
          </x14:formula1>
          <xm:sqref>K7:L8</xm:sqref>
        </x14:dataValidation>
        <x14:dataValidation type="list" showInputMessage="1" showErrorMessage="1" errorTitle="خطا در ورود اطلاعات!" error="لطفاً یکی از گزینه‌های لیست شده را انتخاب نمایید." xr:uid="{B9965D07-50D6-49BB-9AFE-A1FC560E9B9D}">
          <x14:formula1>
            <xm:f>پارامترها!$E$2:$E$5</xm:f>
          </x14:formula1>
          <xm:sqref>D6:D25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B062-9292-4DC9-87FC-D1CB2A848CB0}">
  <sheetPr codeName="Sheet3">
    <tabColor rgb="FFFF0000"/>
  </sheetPr>
  <dimension ref="B1:N27"/>
  <sheetViews>
    <sheetView showGridLines="0" rightToLeft="1" zoomScaleNormal="100" workbookViewId="0">
      <pane ySplit="5" topLeftCell="A6" activePane="bottomLeft" state="frozen"/>
      <selection activeCell="F5" sqref="F5"/>
      <selection pane="bottomLeft" activeCell="C6" sqref="C6"/>
    </sheetView>
  </sheetViews>
  <sheetFormatPr defaultColWidth="9" defaultRowHeight="22.5" customHeight="1" x14ac:dyDescent="0.25"/>
  <cols>
    <col min="1" max="1" width="1.7109375" style="1" customWidth="1"/>
    <col min="2" max="2" width="8.7109375" style="32" customWidth="1"/>
    <col min="3" max="3" width="25.7109375" style="33" customWidth="1"/>
    <col min="4" max="4" width="20.7109375" style="1" customWidth="1"/>
    <col min="5" max="5" width="20.7109375" style="32" customWidth="1"/>
    <col min="6" max="6" width="50.7109375" style="109" customWidth="1"/>
    <col min="7" max="7" width="1.7109375" style="1" customWidth="1"/>
    <col min="8" max="9" width="10.7109375" style="1" customWidth="1"/>
    <col min="10" max="11" width="13.7109375" style="1" customWidth="1"/>
    <col min="12" max="12" width="7.7109375" style="1" customWidth="1"/>
    <col min="13" max="13" width="9" style="1"/>
    <col min="14" max="14" width="17.140625" style="1" bestFit="1" customWidth="1"/>
    <col min="15" max="16384" width="9" style="1"/>
  </cols>
  <sheetData>
    <row r="1" spans="2:14" ht="7.5" customHeight="1" thickBot="1" x14ac:dyDescent="0.3"/>
    <row r="2" spans="2:14" ht="31.5" customHeight="1" thickTop="1" thickBot="1" x14ac:dyDescent="0.3">
      <c r="B2" s="305" t="s">
        <v>133</v>
      </c>
      <c r="C2" s="306"/>
      <c r="D2" s="306"/>
      <c r="E2" s="306"/>
      <c r="F2" s="306"/>
      <c r="G2" s="306"/>
      <c r="H2" s="306"/>
      <c r="I2" s="306"/>
      <c r="J2" s="306"/>
      <c r="K2" s="306"/>
      <c r="L2" s="307"/>
    </row>
    <row r="3" spans="2:14" ht="12.75" customHeight="1" thickTop="1" thickBot="1" x14ac:dyDescent="0.3"/>
    <row r="4" spans="2:14" ht="22.5" customHeight="1" thickTop="1" x14ac:dyDescent="0.25">
      <c r="B4" s="278" t="s">
        <v>43</v>
      </c>
      <c r="C4" s="280" t="s">
        <v>44</v>
      </c>
      <c r="D4" s="282" t="s">
        <v>87</v>
      </c>
      <c r="E4" s="284" t="s">
        <v>48</v>
      </c>
      <c r="F4" s="303" t="s">
        <v>45</v>
      </c>
      <c r="H4" s="288" t="s">
        <v>49</v>
      </c>
      <c r="I4" s="289"/>
      <c r="J4" s="292">
        <f>SUM(E6:E25)</f>
        <v>0</v>
      </c>
      <c r="K4" s="292"/>
      <c r="L4" s="294" t="s">
        <v>41</v>
      </c>
    </row>
    <row r="5" spans="2:14" ht="22.5" customHeight="1" thickBot="1" x14ac:dyDescent="0.3">
      <c r="B5" s="279"/>
      <c r="C5" s="281"/>
      <c r="D5" s="283"/>
      <c r="E5" s="285"/>
      <c r="F5" s="304"/>
      <c r="H5" s="290"/>
      <c r="I5" s="291"/>
      <c r="J5" s="293"/>
      <c r="K5" s="293"/>
      <c r="L5" s="295"/>
    </row>
    <row r="6" spans="2:14" ht="22.5" customHeight="1" thickTop="1" thickBot="1" x14ac:dyDescent="0.3">
      <c r="B6" s="38">
        <f>ROW()-5</f>
        <v>1</v>
      </c>
      <c r="C6" s="54"/>
      <c r="D6" s="106"/>
      <c r="E6" s="55"/>
      <c r="F6" s="110" t="s">
        <v>35</v>
      </c>
      <c r="H6" s="34"/>
      <c r="I6" s="34"/>
      <c r="J6" s="35"/>
      <c r="K6" s="35"/>
      <c r="L6" s="36"/>
      <c r="N6" s="46"/>
    </row>
    <row r="7" spans="2:14" ht="22.5" customHeight="1" thickTop="1" x14ac:dyDescent="0.25">
      <c r="B7" s="38">
        <f t="shared" ref="B7:B24" si="0">ROW()-5</f>
        <v>2</v>
      </c>
      <c r="C7" s="56"/>
      <c r="D7" s="106"/>
      <c r="E7" s="57"/>
      <c r="F7" s="111" t="s">
        <v>35</v>
      </c>
      <c r="H7" s="299" t="s">
        <v>86</v>
      </c>
      <c r="I7" s="300"/>
      <c r="J7" s="300"/>
      <c r="K7" s="268" t="s">
        <v>84</v>
      </c>
      <c r="L7" s="269"/>
      <c r="N7" s="46"/>
    </row>
    <row r="8" spans="2:14" ht="22.5" customHeight="1" thickBot="1" x14ac:dyDescent="0.3">
      <c r="B8" s="38">
        <f t="shared" si="0"/>
        <v>3</v>
      </c>
      <c r="C8" s="56"/>
      <c r="D8" s="106"/>
      <c r="E8" s="57"/>
      <c r="F8" s="111" t="s">
        <v>35</v>
      </c>
      <c r="H8" s="301"/>
      <c r="I8" s="302"/>
      <c r="J8" s="302"/>
      <c r="K8" s="270"/>
      <c r="L8" s="271"/>
      <c r="N8" s="46"/>
    </row>
    <row r="9" spans="2:14" ht="22.5" customHeight="1" thickTop="1" thickBot="1" x14ac:dyDescent="0.3">
      <c r="B9" s="38">
        <f t="shared" si="0"/>
        <v>4</v>
      </c>
      <c r="C9" s="56"/>
      <c r="D9" s="106"/>
      <c r="E9" s="57"/>
      <c r="F9" s="111" t="s">
        <v>35</v>
      </c>
      <c r="H9" s="37" t="s">
        <v>39</v>
      </c>
      <c r="I9" s="296"/>
      <c r="J9" s="296"/>
      <c r="K9" s="297">
        <f>IF(K7="",0,IF(K7="کلیه‌ی هزینه‌ها",SUMIFS(E:E,C:C,"&gt;="&amp;I9,C:C,"&lt;="&amp;I10),SUMIFS(E:E,D:D,K7,C:C,"&gt;="&amp;I9,C:C,"&lt;="&amp;I10)))</f>
        <v>0</v>
      </c>
      <c r="L9" s="297"/>
      <c r="N9" s="46"/>
    </row>
    <row r="10" spans="2:14" ht="22.5" customHeight="1" thickTop="1" thickBot="1" x14ac:dyDescent="0.3">
      <c r="B10" s="38">
        <f t="shared" si="0"/>
        <v>5</v>
      </c>
      <c r="C10" s="56"/>
      <c r="D10" s="106"/>
      <c r="E10" s="57"/>
      <c r="F10" s="111" t="s">
        <v>35</v>
      </c>
      <c r="H10" s="37" t="s">
        <v>40</v>
      </c>
      <c r="I10" s="296"/>
      <c r="J10" s="296"/>
      <c r="K10" s="298" t="s">
        <v>42</v>
      </c>
      <c r="L10" s="298"/>
      <c r="N10" s="46"/>
    </row>
    <row r="11" spans="2:14" ht="22.5" customHeight="1" thickTop="1" x14ac:dyDescent="0.25">
      <c r="B11" s="38">
        <f t="shared" si="0"/>
        <v>6</v>
      </c>
      <c r="C11" s="56"/>
      <c r="D11" s="106"/>
      <c r="E11" s="57"/>
      <c r="F11" s="111" t="s">
        <v>35</v>
      </c>
      <c r="J11" s="42"/>
      <c r="N11" s="46"/>
    </row>
    <row r="12" spans="2:14" ht="22.5" customHeight="1" x14ac:dyDescent="0.25">
      <c r="B12" s="38">
        <f t="shared" si="0"/>
        <v>7</v>
      </c>
      <c r="C12" s="56"/>
      <c r="D12" s="106"/>
      <c r="E12" s="57"/>
      <c r="F12" s="111" t="s">
        <v>35</v>
      </c>
      <c r="I12" s="48"/>
      <c r="J12" s="42"/>
      <c r="K12" s="47"/>
      <c r="N12" s="46"/>
    </row>
    <row r="13" spans="2:14" ht="22.5" customHeight="1" x14ac:dyDescent="0.25">
      <c r="B13" s="38">
        <f t="shared" si="0"/>
        <v>8</v>
      </c>
      <c r="C13" s="56"/>
      <c r="D13" s="106"/>
      <c r="E13" s="57"/>
      <c r="F13" s="111" t="s">
        <v>35</v>
      </c>
      <c r="N13" s="46"/>
    </row>
    <row r="14" spans="2:14" ht="22.5" customHeight="1" x14ac:dyDescent="0.25">
      <c r="B14" s="38">
        <f t="shared" si="0"/>
        <v>9</v>
      </c>
      <c r="C14" s="56"/>
      <c r="D14" s="106"/>
      <c r="E14" s="57"/>
      <c r="F14" s="111" t="s">
        <v>35</v>
      </c>
      <c r="I14" s="49"/>
      <c r="K14" s="45"/>
      <c r="N14" s="46"/>
    </row>
    <row r="15" spans="2:14" ht="22.5" customHeight="1" x14ac:dyDescent="0.25">
      <c r="B15" s="38">
        <f t="shared" si="0"/>
        <v>10</v>
      </c>
      <c r="C15" s="56"/>
      <c r="D15" s="106"/>
      <c r="E15" s="57"/>
      <c r="F15" s="111" t="s">
        <v>35</v>
      </c>
      <c r="N15" s="46"/>
    </row>
    <row r="16" spans="2:14" ht="22.5" customHeight="1" x14ac:dyDescent="0.25">
      <c r="B16" s="38">
        <f t="shared" si="0"/>
        <v>11</v>
      </c>
      <c r="C16" s="56"/>
      <c r="D16" s="106"/>
      <c r="E16" s="57"/>
      <c r="F16" s="111" t="s">
        <v>35</v>
      </c>
      <c r="N16" s="46"/>
    </row>
    <row r="17" spans="2:14" ht="22.5" customHeight="1" x14ac:dyDescent="0.25">
      <c r="B17" s="38">
        <f t="shared" si="0"/>
        <v>12</v>
      </c>
      <c r="C17" s="56"/>
      <c r="D17" s="106"/>
      <c r="E17" s="57"/>
      <c r="F17" s="111" t="s">
        <v>35</v>
      </c>
      <c r="N17" s="45"/>
    </row>
    <row r="18" spans="2:14" ht="22.5" customHeight="1" x14ac:dyDescent="0.25">
      <c r="B18" s="38">
        <f t="shared" si="0"/>
        <v>13</v>
      </c>
      <c r="C18" s="56"/>
      <c r="D18" s="106"/>
      <c r="E18" s="57"/>
      <c r="F18" s="111" t="s">
        <v>35</v>
      </c>
      <c r="N18" s="45"/>
    </row>
    <row r="19" spans="2:14" ht="22.5" customHeight="1" x14ac:dyDescent="0.25">
      <c r="B19" s="38">
        <f t="shared" si="0"/>
        <v>14</v>
      </c>
      <c r="C19" s="56"/>
      <c r="D19" s="106"/>
      <c r="E19" s="57"/>
      <c r="F19" s="111" t="s">
        <v>35</v>
      </c>
    </row>
    <row r="20" spans="2:14" ht="22.5" customHeight="1" x14ac:dyDescent="0.25">
      <c r="B20" s="38">
        <f t="shared" si="0"/>
        <v>15</v>
      </c>
      <c r="C20" s="56"/>
      <c r="D20" s="106"/>
      <c r="E20" s="57"/>
      <c r="F20" s="111" t="s">
        <v>35</v>
      </c>
    </row>
    <row r="21" spans="2:14" ht="22.5" customHeight="1" x14ac:dyDescent="0.25">
      <c r="B21" s="38">
        <f t="shared" si="0"/>
        <v>16</v>
      </c>
      <c r="C21" s="56"/>
      <c r="D21" s="106"/>
      <c r="E21" s="57"/>
      <c r="F21" s="111" t="s">
        <v>35</v>
      </c>
    </row>
    <row r="22" spans="2:14" ht="22.5" customHeight="1" x14ac:dyDescent="0.25">
      <c r="B22" s="38">
        <f t="shared" si="0"/>
        <v>17</v>
      </c>
      <c r="C22" s="56"/>
      <c r="D22" s="106"/>
      <c r="E22" s="57"/>
      <c r="F22" s="111" t="s">
        <v>35</v>
      </c>
    </row>
    <row r="23" spans="2:14" ht="22.5" customHeight="1" x14ac:dyDescent="0.25">
      <c r="B23" s="38">
        <f t="shared" si="0"/>
        <v>18</v>
      </c>
      <c r="C23" s="56"/>
      <c r="D23" s="106"/>
      <c r="E23" s="57"/>
      <c r="F23" s="111" t="s">
        <v>35</v>
      </c>
    </row>
    <row r="24" spans="2:14" ht="22.5" customHeight="1" x14ac:dyDescent="0.25">
      <c r="B24" s="38">
        <f t="shared" si="0"/>
        <v>19</v>
      </c>
      <c r="C24" s="56"/>
      <c r="D24" s="106"/>
      <c r="E24" s="57"/>
      <c r="F24" s="111" t="s">
        <v>35</v>
      </c>
    </row>
    <row r="25" spans="2:14" ht="22.5" customHeight="1" thickBot="1" x14ac:dyDescent="0.3">
      <c r="B25" s="38">
        <f t="shared" ref="B25" si="1">ROW()-5</f>
        <v>20</v>
      </c>
      <c r="C25" s="56"/>
      <c r="D25" s="106"/>
      <c r="E25" s="58"/>
      <c r="F25" s="111" t="s">
        <v>35</v>
      </c>
    </row>
    <row r="26" spans="2:14" ht="39.75" customHeight="1" thickTop="1" thickBot="1" x14ac:dyDescent="0.3">
      <c r="B26" s="272" t="s">
        <v>46</v>
      </c>
      <c r="C26" s="273"/>
      <c r="D26" s="274"/>
      <c r="E26" s="40">
        <f>SUM(E6:E25)</f>
        <v>0</v>
      </c>
      <c r="F26" s="112" t="s">
        <v>47</v>
      </c>
    </row>
    <row r="27" spans="2:14" ht="22.5" customHeight="1" thickTop="1" x14ac:dyDescent="0.25"/>
  </sheetData>
  <sheetProtection algorithmName="SHA-512" hashValue="l4wrBiYY1Q5MUOl6TJxafjtkkRkLQCNwAW13y0nS/BRMmcZbfpsvsJQGQ1aFAa2LooKxPK/X0MksPDDotsN9ug==" saltValue="bEmXEOOH2i+BNHelVqjDGA==" spinCount="100000" sheet="1" objects="1" scenarios="1" selectLockedCells="1"/>
  <mergeCells count="16">
    <mergeCell ref="K7:L8"/>
    <mergeCell ref="F4:F5"/>
    <mergeCell ref="B2:L2"/>
    <mergeCell ref="B26:D26"/>
    <mergeCell ref="B4:B5"/>
    <mergeCell ref="C4:C5"/>
    <mergeCell ref="D4:D5"/>
    <mergeCell ref="E4:E5"/>
    <mergeCell ref="L4:L5"/>
    <mergeCell ref="I9:J9"/>
    <mergeCell ref="I10:J10"/>
    <mergeCell ref="K10:L10"/>
    <mergeCell ref="K9:L9"/>
    <mergeCell ref="H4:I5"/>
    <mergeCell ref="J4:K5"/>
    <mergeCell ref="H7:J8"/>
  </mergeCells>
  <conditionalFormatting sqref="E6:E25">
    <cfRule type="dataBar" priority="67">
      <dataBar>
        <cfvo type="min"/>
        <cfvo type="max"/>
        <color rgb="FFFF0000"/>
      </dataBar>
      <extLst>
        <ext xmlns:x14="http://schemas.microsoft.com/office/spreadsheetml/2009/9/main" uri="{B025F937-C7B1-47D3-B67F-A62EFF666E3E}">
          <x14:id>{3FFCE752-65BD-482A-9F9A-4E529FA54D77}</x14:id>
        </ext>
      </extLst>
    </cfRule>
  </conditionalFormatting>
  <dataValidations count="4">
    <dataValidation operator="greaterThan" allowBlank="1" showInputMessage="1" showErrorMessage="1" sqref="C6" xr:uid="{4DFC53EC-ADDF-40BE-80CA-3B78C5FB4FA9}"/>
    <dataValidation type="date" operator="greaterThanOrEqual" showInputMessage="1" showErrorMessage="1" errorTitle="خطا در درج تاریخ!" error="تاریخ مد نظر، نباید کمتر از تاریخ درج شده‌ی قبلی باشد!" sqref="I10:J10" xr:uid="{1ED05DD2-7204-4313-957B-52A324B65EDE}">
      <formula1>I9</formula1>
    </dataValidation>
    <dataValidation type="whole" operator="greaterThanOrEqual" showInputMessage="1" showErrorMessage="1" errorTitle="خطا در ورود اطلاعات!" error="مبلغ مندرج باید عددی غیر اعشاری و نامنفی باشد." sqref="E6:E25" xr:uid="{8E228AE5-295F-4785-8C41-575068D498B0}">
      <formula1>0</formula1>
    </dataValidation>
    <dataValidation type="date" operator="greaterThanOrEqual" showErrorMessage="1" errorTitle="خطا در درج تاریخ!" error="تاریخ مد نظر، نباید کمتر از تاریخ درج شده‌ی قبلی باشد!" sqref="C7:C25" xr:uid="{CB3C9451-5BEC-48CB-913F-E15D13326098}">
      <formula1>C6</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3FFCE752-65BD-482A-9F9A-4E529FA54D77}">
            <x14:dataBar minLength="0" maxLength="100" gradient="0">
              <x14:cfvo type="autoMin"/>
              <x14:cfvo type="autoMax"/>
              <x14:negativeFillColor rgb="FFFF0000"/>
              <x14:axisColor rgb="FF000000"/>
            </x14:dataBar>
          </x14:cfRule>
          <xm:sqref>E6:E25</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errorTitle="خطا در ورود اطلاعات!" error="لطفاً یکی از گزینه‌های لیست شده را انتخاب نمایید." xr:uid="{8691106E-658E-44F1-87A0-16FAC15816D2}">
          <x14:formula1>
            <xm:f>پارامترها!$F$2:$F$10</xm:f>
          </x14:formula1>
          <xm:sqref>K7:L8</xm:sqref>
        </x14:dataValidation>
        <x14:dataValidation type="list" showInputMessage="1" showErrorMessage="1" errorTitle="خطا در ورود اطلاعات!" error="لطفاً یکی از گزینه‌های لیست شده را انتخاب نمایید." xr:uid="{208DD912-672F-41CD-AD5E-30056AF1C237}">
          <x14:formula1>
            <xm:f>پارامترها!$F$2:$F$9</xm:f>
          </x14:formula1>
          <xm:sqref>D6:D25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8A92-E131-4DE8-A966-0CA29F787CC5}">
  <sheetPr codeName="Sheet4">
    <tabColor rgb="FF00B0F0"/>
  </sheetPr>
  <dimension ref="A1:AA17"/>
  <sheetViews>
    <sheetView showGridLines="0" rightToLeft="1" zoomScaleNormal="100" workbookViewId="0">
      <selection activeCell="B6" sqref="B6"/>
    </sheetView>
  </sheetViews>
  <sheetFormatPr defaultColWidth="9" defaultRowHeight="22.5" x14ac:dyDescent="0.25"/>
  <cols>
    <col min="1" max="1" width="1.7109375" style="23" customWidth="1"/>
    <col min="2" max="3" width="12.7109375" style="23" customWidth="1"/>
    <col min="4" max="4" width="5.7109375" style="23" customWidth="1"/>
    <col min="5" max="7" width="12.7109375" style="23" customWidth="1"/>
    <col min="8" max="8" width="14.7109375" style="23" customWidth="1"/>
    <col min="9" max="14" width="16.7109375" style="23" customWidth="1"/>
    <col min="15" max="15" width="9" style="23"/>
    <col min="16" max="16" width="9.140625" style="23" bestFit="1" customWidth="1"/>
    <col min="17" max="17" width="9" style="23"/>
    <col min="18" max="18" width="9.85546875" style="23" bestFit="1" customWidth="1"/>
    <col min="19" max="20" width="9" style="23"/>
    <col min="21" max="21" width="9.5703125" style="23" customWidth="1"/>
    <col min="22" max="26" width="9" style="23"/>
    <col min="27" max="27" width="9" style="23" hidden="1" customWidth="1"/>
    <col min="28" max="16384" width="9" style="23"/>
  </cols>
  <sheetData>
    <row r="1" spans="1:27" ht="7.5" customHeight="1" thickBot="1" x14ac:dyDescent="0.3"/>
    <row r="2" spans="1:27" ht="33.75" thickTop="1" thickBot="1" x14ac:dyDescent="0.3">
      <c r="B2" s="316" t="s">
        <v>138</v>
      </c>
      <c r="C2" s="317"/>
      <c r="D2" s="317"/>
      <c r="E2" s="317"/>
      <c r="F2" s="317"/>
      <c r="G2" s="317"/>
      <c r="H2" s="317"/>
      <c r="I2" s="317"/>
      <c r="J2" s="317"/>
      <c r="K2" s="317"/>
      <c r="L2" s="317"/>
      <c r="M2" s="317"/>
      <c r="N2" s="318"/>
    </row>
    <row r="3" spans="1:27" s="140" customFormat="1" ht="12.75" customHeight="1" thickTop="1" thickBot="1" x14ac:dyDescent="0.3">
      <c r="B3" s="141"/>
      <c r="C3" s="141"/>
      <c r="D3" s="141"/>
      <c r="E3" s="141"/>
      <c r="F3" s="141"/>
      <c r="G3" s="141"/>
      <c r="H3" s="141"/>
      <c r="I3" s="141"/>
      <c r="J3" s="141"/>
      <c r="K3" s="141"/>
      <c r="L3" s="141"/>
      <c r="M3" s="141"/>
      <c r="N3" s="141"/>
    </row>
    <row r="4" spans="1:27" ht="24" customHeight="1" thickTop="1" thickBot="1" x14ac:dyDescent="0.3">
      <c r="B4" s="319" t="s">
        <v>20</v>
      </c>
      <c r="C4" s="320"/>
      <c r="D4" s="321" t="s">
        <v>21</v>
      </c>
      <c r="E4" s="320" t="s">
        <v>137</v>
      </c>
      <c r="F4" s="320"/>
      <c r="G4" s="321" t="s">
        <v>24</v>
      </c>
      <c r="H4" s="327" t="s">
        <v>136</v>
      </c>
      <c r="I4" s="324" t="s">
        <v>135</v>
      </c>
      <c r="J4" s="325"/>
      <c r="K4" s="325"/>
      <c r="L4" s="325"/>
      <c r="M4" s="326"/>
      <c r="N4" s="322" t="s">
        <v>134</v>
      </c>
    </row>
    <row r="5" spans="1:27" ht="24" customHeight="1" thickTop="1" thickBot="1" x14ac:dyDescent="0.3">
      <c r="B5" s="24" t="s">
        <v>25</v>
      </c>
      <c r="C5" s="25" t="s">
        <v>26</v>
      </c>
      <c r="D5" s="321"/>
      <c r="E5" s="25" t="s">
        <v>25</v>
      </c>
      <c r="F5" s="25" t="s">
        <v>26</v>
      </c>
      <c r="G5" s="321"/>
      <c r="H5" s="328"/>
      <c r="I5" s="26" t="s">
        <v>27</v>
      </c>
      <c r="J5" s="26" t="s">
        <v>22</v>
      </c>
      <c r="K5" s="26" t="s">
        <v>28</v>
      </c>
      <c r="L5" s="26" t="s">
        <v>29</v>
      </c>
      <c r="M5" s="26" t="s">
        <v>30</v>
      </c>
      <c r="N5" s="323"/>
    </row>
    <row r="6" spans="1:27" ht="24" thickTop="1" thickBot="1" x14ac:dyDescent="0.3">
      <c r="B6" s="43" t="s">
        <v>35</v>
      </c>
      <c r="C6" s="44" t="s">
        <v>35</v>
      </c>
      <c r="D6" s="129" t="str">
        <f>IF(ISERROR(_xlfn.DAYS(C6,B6)),"-",_xlfn.DAYS(C6,B6))</f>
        <v>-</v>
      </c>
      <c r="E6" s="16">
        <v>0</v>
      </c>
      <c r="F6" s="16">
        <v>0</v>
      </c>
      <c r="G6" s="129">
        <f>F6-E6</f>
        <v>0</v>
      </c>
      <c r="H6" s="142">
        <v>3</v>
      </c>
      <c r="I6" s="16">
        <v>0</v>
      </c>
      <c r="J6" s="16">
        <v>0</v>
      </c>
      <c r="K6" s="16">
        <v>0</v>
      </c>
      <c r="L6" s="16">
        <v>0</v>
      </c>
      <c r="M6" s="16">
        <v>0</v>
      </c>
      <c r="N6" s="139">
        <f>I6+J6+K6+L6-M6</f>
        <v>0</v>
      </c>
    </row>
    <row r="7" spans="1:27" ht="13.5" customHeight="1" thickTop="1" thickBot="1" x14ac:dyDescent="0.3">
      <c r="A7" s="116"/>
      <c r="B7" s="122"/>
      <c r="C7" s="122"/>
      <c r="D7" s="117"/>
      <c r="E7" s="117"/>
      <c r="F7" s="117"/>
      <c r="G7" s="117"/>
      <c r="H7" s="117"/>
      <c r="I7" s="117"/>
      <c r="J7" s="117"/>
      <c r="K7" s="117"/>
      <c r="L7" s="117"/>
      <c r="M7" s="117"/>
      <c r="N7" s="117"/>
      <c r="O7" s="116"/>
    </row>
    <row r="8" spans="1:27" ht="32.25" customHeight="1" thickTop="1" thickBot="1" x14ac:dyDescent="0.3">
      <c r="B8" s="346" t="s">
        <v>122</v>
      </c>
      <c r="C8" s="347"/>
      <c r="D8" s="348">
        <v>5</v>
      </c>
      <c r="E8" s="349"/>
      <c r="F8" s="344" t="s">
        <v>123</v>
      </c>
      <c r="G8" s="345"/>
      <c r="H8" s="123">
        <v>14</v>
      </c>
      <c r="I8" s="308" t="s">
        <v>124</v>
      </c>
      <c r="J8" s="309"/>
      <c r="K8" s="123">
        <v>30</v>
      </c>
      <c r="L8" s="310" t="s">
        <v>125</v>
      </c>
      <c r="M8" s="311"/>
      <c r="N8" s="124">
        <v>10000</v>
      </c>
    </row>
    <row r="9" spans="1:27" ht="32.25" customHeight="1" thickTop="1" thickBot="1" x14ac:dyDescent="0.3">
      <c r="B9" s="342" t="s">
        <v>139</v>
      </c>
      <c r="C9" s="343"/>
      <c r="D9" s="350">
        <v>0</v>
      </c>
      <c r="E9" s="351"/>
      <c r="F9" s="344" t="s">
        <v>140</v>
      </c>
      <c r="G9" s="345"/>
      <c r="H9" s="149">
        <v>1</v>
      </c>
      <c r="I9" s="308" t="s">
        <v>141</v>
      </c>
      <c r="J9" s="309"/>
      <c r="K9" s="149">
        <v>1.5</v>
      </c>
      <c r="L9" s="310" t="s">
        <v>126</v>
      </c>
      <c r="M9" s="311"/>
      <c r="N9" s="124">
        <v>10000</v>
      </c>
    </row>
    <row r="10" spans="1:27" ht="24" thickTop="1" thickBot="1" x14ac:dyDescent="0.3"/>
    <row r="11" spans="1:27" ht="24" customHeight="1" thickTop="1" thickBot="1" x14ac:dyDescent="0.3">
      <c r="B11" s="332" t="s">
        <v>0</v>
      </c>
      <c r="C11" s="334" t="s">
        <v>1</v>
      </c>
      <c r="D11" s="340" t="s">
        <v>2</v>
      </c>
      <c r="E11" s="314" t="s">
        <v>130</v>
      </c>
      <c r="F11" s="336" t="s">
        <v>23</v>
      </c>
      <c r="G11" s="337"/>
      <c r="H11" s="338" t="s">
        <v>121</v>
      </c>
      <c r="I11" s="225" t="s">
        <v>154</v>
      </c>
      <c r="J11" s="314" t="s">
        <v>32</v>
      </c>
      <c r="K11" s="314" t="s">
        <v>33</v>
      </c>
      <c r="L11" s="314" t="s">
        <v>156</v>
      </c>
      <c r="M11" s="314" t="s">
        <v>31</v>
      </c>
      <c r="N11" s="312" t="s">
        <v>34</v>
      </c>
    </row>
    <row r="12" spans="1:27" ht="23.25" thickBot="1" x14ac:dyDescent="0.3">
      <c r="B12" s="333"/>
      <c r="C12" s="335"/>
      <c r="D12" s="341"/>
      <c r="E12" s="315"/>
      <c r="F12" s="27" t="s">
        <v>25</v>
      </c>
      <c r="G12" s="27" t="s">
        <v>26</v>
      </c>
      <c r="H12" s="339"/>
      <c r="I12" s="226" t="s">
        <v>155</v>
      </c>
      <c r="J12" s="315"/>
      <c r="K12" s="315"/>
      <c r="L12" s="315"/>
      <c r="M12" s="315"/>
      <c r="N12" s="313"/>
    </row>
    <row r="13" spans="1:27" ht="23.25" thickTop="1" x14ac:dyDescent="0.25">
      <c r="B13" s="28">
        <f>ROW()-12</f>
        <v>1</v>
      </c>
      <c r="C13" s="130" t="str">
        <f>'مشخصات واحدها'!B2</f>
        <v>اوّل</v>
      </c>
      <c r="D13" s="130">
        <f>'مشخصات واحدها'!C2</f>
        <v>101</v>
      </c>
      <c r="E13" s="136">
        <v>1</v>
      </c>
      <c r="F13" s="17">
        <v>0</v>
      </c>
      <c r="G13" s="17">
        <v>0</v>
      </c>
      <c r="H13" s="133">
        <f>(G13-F13)/E13</f>
        <v>0</v>
      </c>
      <c r="I13" s="29" t="str">
        <f>IF(ISERROR(($N$8+$N$9)*$D$6/30),"-",($N$8+$N$9)*$D$6/30)</f>
        <v>-</v>
      </c>
      <c r="J13" s="29" t="str">
        <f>IF(ISERROR(((($G$6*1000-$H$16)*($N$6-((($N$8+$N$9)/30)*$D$6*$H$6)))/($G$6*1000))/$H$6),"-",((($G$6*1000-$H$16)*($N$6-((($N$8+$N$9)/30)*$D$6*$H$6)))/($G$6*1000))/$H$6)</f>
        <v>-</v>
      </c>
      <c r="K13" s="30" t="str">
        <f>IF(ISERROR(I13+J13),"-",I13+J13)</f>
        <v>-</v>
      </c>
      <c r="L13" s="29" t="str">
        <f>IF(ISERROR(AA13*($N$6-((($N$8+$N$9)/30)*$D$6*$H$6))/($G$6*1000*$AA$16/$H$16)),"-",AA13*($N$6-((($N$8+$N$9)/30)*$D$6*$H$6))/($G$6*1000*$AA$16/$H$16))</f>
        <v>-</v>
      </c>
      <c r="M13" s="30" t="str">
        <f>IF(ISERROR(K13+L13),"-",K13+L13)</f>
        <v>-</v>
      </c>
      <c r="N13" s="118" t="str">
        <f>IF(ISERROR(ROUND(M13/1000,0)*1000),"-",ROUND(M13/1000,0)*1000)</f>
        <v>-</v>
      </c>
      <c r="AA13" s="23" t="e">
        <f>_xlfn.IFS(H13&lt;=$D$8*1000*$D$6/30,H13*$D$9/$H$9,H13&lt;=$H$8*1000*$D$6/30,H13,1=1,H13*$K$9/$H$9)</f>
        <v>#VALUE!</v>
      </c>
    </row>
    <row r="14" spans="1:27" x14ac:dyDescent="0.25">
      <c r="B14" s="120">
        <f t="shared" ref="B14:B15" si="0">ROW()-12</f>
        <v>2</v>
      </c>
      <c r="C14" s="131" t="str">
        <f>'مشخصات واحدها'!B3</f>
        <v>دوم</v>
      </c>
      <c r="D14" s="131">
        <f>'مشخصات واحدها'!C3</f>
        <v>201</v>
      </c>
      <c r="E14" s="137">
        <v>1</v>
      </c>
      <c r="F14" s="18">
        <v>0</v>
      </c>
      <c r="G14" s="18">
        <v>0</v>
      </c>
      <c r="H14" s="134">
        <f t="shared" ref="H14:H15" si="1">(G14-F14)/E14</f>
        <v>0</v>
      </c>
      <c r="I14" s="108" t="str">
        <f t="shared" ref="I14:I15" si="2">IF(ISERROR(($N$8+$N$9)*$D$6/30),"-",($N$8+$N$9)*$D$6/30)</f>
        <v>-</v>
      </c>
      <c r="J14" s="108" t="str">
        <f>IF(ISERROR(((($G$6*1000-$H$16)*($N$6-((($N$8+$N$9)/30)*$D$6*$H$6)))/($G$6*1000))/$H$6),"-",((($G$6*1000-$H$16)*($N$6-((($N$8+$N$9)/30)*$D$6*$H$6)))/($G$6*1000))/$H$6)</f>
        <v>-</v>
      </c>
      <c r="K14" s="31" t="str">
        <f t="shared" ref="K14:K15" si="3">IF(ISERROR(I14+J14),"-",I14+J14)</f>
        <v>-</v>
      </c>
      <c r="L14" s="108" t="str">
        <f>IF(ISERROR(AA14*($N$6-((($N$8+$N$9)/30)*$D$6*$H$6))/($G$6*1000*$AA$16/$H$16)),"-",AA14*($N$6-((($N$8+$N$9)/30)*$D$6*$H$6))/($G$6*1000*$AA$16/$H$16))</f>
        <v>-</v>
      </c>
      <c r="M14" s="31" t="str">
        <f t="shared" ref="M14:M15" si="4">IF(ISERROR(K14+L14),"-",K14+L14)</f>
        <v>-</v>
      </c>
      <c r="N14" s="119" t="str">
        <f t="shared" ref="N14:N15" si="5">IF(ISERROR(ROUND(M14/1000,0)*1000),"-",ROUND(M14/1000,0)*1000)</f>
        <v>-</v>
      </c>
      <c r="AA14" s="23" t="e">
        <f t="shared" ref="AA14:AA15" si="6">_xlfn.IFS(H14&lt;=$D$8*1000*$D$6/30,H14*$D$9/$H$9,H14&lt;=$H$8*1000*$D$6/30,H14,1=1,H14*$K$9/$H$9)</f>
        <v>#VALUE!</v>
      </c>
    </row>
    <row r="15" spans="1:27" ht="23.25" thickBot="1" x14ac:dyDescent="0.3">
      <c r="B15" s="121">
        <f t="shared" si="0"/>
        <v>3</v>
      </c>
      <c r="C15" s="132" t="str">
        <f>'مشخصات واحدها'!B4</f>
        <v>سوم</v>
      </c>
      <c r="D15" s="132">
        <f>'مشخصات واحدها'!C4</f>
        <v>301</v>
      </c>
      <c r="E15" s="138">
        <v>1</v>
      </c>
      <c r="F15" s="18">
        <v>0</v>
      </c>
      <c r="G15" s="150">
        <v>0</v>
      </c>
      <c r="H15" s="135">
        <f t="shared" si="1"/>
        <v>0</v>
      </c>
      <c r="I15" s="143" t="str">
        <f t="shared" si="2"/>
        <v>-</v>
      </c>
      <c r="J15" s="143" t="str">
        <f>IF(ISERROR(((($G$6*1000-$H$16)*($N$6-((($N$8+$N$9)/30)*$D$6*$H$6)))/($G$6*1000))/$H$6),"-",((($G$6*1000-$H$16)*($N$6-((($N$8+$N$9)/30)*$D$6*$H$6)))/($G$6*1000))/$H$6)</f>
        <v>-</v>
      </c>
      <c r="K15" s="144" t="str">
        <f t="shared" si="3"/>
        <v>-</v>
      </c>
      <c r="L15" s="143" t="str">
        <f>IF(ISERROR(AA15*($N$6-((($N$8+$N$9)/30)*$D$6*$H$6))/($G$6*1000*$AA$16/$H$16)),"-",AA15*($N$6-((($N$8+$N$9)/30)*$D$6*$H$6))/($G$6*1000*$AA$16/$H$16))</f>
        <v>-</v>
      </c>
      <c r="M15" s="144" t="str">
        <f t="shared" si="4"/>
        <v>-</v>
      </c>
      <c r="N15" s="145" t="str">
        <f t="shared" si="5"/>
        <v>-</v>
      </c>
      <c r="AA15" s="23" t="e">
        <f t="shared" si="6"/>
        <v>#VALUE!</v>
      </c>
    </row>
    <row r="16" spans="1:27" ht="37.5" thickTop="1" thickBot="1" x14ac:dyDescent="0.3">
      <c r="B16" s="329" t="s">
        <v>127</v>
      </c>
      <c r="C16" s="330"/>
      <c r="D16" s="330"/>
      <c r="E16" s="330"/>
      <c r="F16" s="330"/>
      <c r="G16" s="331"/>
      <c r="H16" s="125">
        <f t="shared" ref="H16:N16" si="7">SUM(H13:H15)</f>
        <v>0</v>
      </c>
      <c r="I16" s="126">
        <f t="shared" si="7"/>
        <v>0</v>
      </c>
      <c r="J16" s="126">
        <f t="shared" si="7"/>
        <v>0</v>
      </c>
      <c r="K16" s="127">
        <f t="shared" si="7"/>
        <v>0</v>
      </c>
      <c r="L16" s="126">
        <f t="shared" si="7"/>
        <v>0</v>
      </c>
      <c r="M16" s="127">
        <f t="shared" si="7"/>
        <v>0</v>
      </c>
      <c r="N16" s="128">
        <f t="shared" si="7"/>
        <v>0</v>
      </c>
      <c r="AA16" s="23" t="e">
        <f>SUM(AA13:AA15)</f>
        <v>#VALUE!</v>
      </c>
    </row>
    <row r="17" ht="23.25" thickTop="1" x14ac:dyDescent="0.25"/>
  </sheetData>
  <sheetProtection algorithmName="SHA-512" hashValue="AkHhxXZCaihaJUyazjUdFDd1FwZ2AYlInmkBbYXgcpQ9fr8nTfzlHdKGncyNKh2jqShor8i2SzVz4d52Lzv+bQ==" saltValue="FpQGBs59TsRkqPzeTQmPng==" spinCount="100000" sheet="1" objects="1" scenarios="1" selectLockedCells="1"/>
  <mergeCells count="30">
    <mergeCell ref="B9:C9"/>
    <mergeCell ref="F9:G9"/>
    <mergeCell ref="B8:C8"/>
    <mergeCell ref="D8:E8"/>
    <mergeCell ref="F8:G8"/>
    <mergeCell ref="D9:E9"/>
    <mergeCell ref="B16:G16"/>
    <mergeCell ref="B11:B12"/>
    <mergeCell ref="C11:C12"/>
    <mergeCell ref="F11:G11"/>
    <mergeCell ref="H11:H12"/>
    <mergeCell ref="D11:D12"/>
    <mergeCell ref="E11:E12"/>
    <mergeCell ref="B2:N2"/>
    <mergeCell ref="B4:C4"/>
    <mergeCell ref="D4:D5"/>
    <mergeCell ref="E4:F4"/>
    <mergeCell ref="G4:G5"/>
    <mergeCell ref="N4:N5"/>
    <mergeCell ref="I4:M4"/>
    <mergeCell ref="H4:H5"/>
    <mergeCell ref="I9:J9"/>
    <mergeCell ref="L9:M9"/>
    <mergeCell ref="I8:J8"/>
    <mergeCell ref="L8:M8"/>
    <mergeCell ref="N11:N12"/>
    <mergeCell ref="J11:J12"/>
    <mergeCell ref="K11:K12"/>
    <mergeCell ref="L11:L12"/>
    <mergeCell ref="M11:M12"/>
  </mergeCells>
  <conditionalFormatting sqref="E13:E15">
    <cfRule type="cellIs" dxfId="6" priority="1" operator="notEqual">
      <formula>1</formula>
    </cfRule>
  </conditionalFormatting>
  <dataValidations count="12">
    <dataValidation type="date" operator="greaterThan" showErrorMessage="1" errorTitle="خطای درج تاریخ!" error="تاریخ قرائت &quot;کنونی&quot; باید از تاریخ قرائت &quot;پیشین&quot; بیشتر باشد." sqref="C6" xr:uid="{E8CDA801-F854-428A-919A-C87F0F5BF959}">
      <formula1>B6</formula1>
    </dataValidation>
    <dataValidation type="whole" operator="greaterThanOrEqual" showInputMessage="1" showErrorMessage="1" errorTitle="خطا در ورود اطلاعات!" error="شماره‌ی کنتور باید عددی غیر اعشاری و نامنفی باشد." sqref="F13:F15 E6" xr:uid="{E2CEF9EB-4573-482C-B808-8C7C9B6DB7D5}">
      <formula1>0</formula1>
    </dataValidation>
    <dataValidation type="whole" operator="greaterThanOrEqual" showInputMessage="1" showErrorMessage="1" errorTitle="خطا در ورود اطلاعات!" error="شماره‌ی کنتور باید عددی غیر اعشاری و نامنفی باشد؛ همچنین، شماره‌ی کنتور &quot;کنونی&quot; نباید از شماره‌ی کنتور &quot;پیشین&quot; کمتر باشد." sqref="G13:G15 F6" xr:uid="{3829EAB1-95D1-4456-8D6F-613E3EC1C075}">
      <formula1>E6</formula1>
    </dataValidation>
    <dataValidation type="whole" operator="greaterThan" showInputMessage="1" showErrorMessage="1" errorTitle="خطا در ورود اطلاعات!" error="تعداد انشعابات ثبت‌شده باید عددی غیر اعشاری و نامنفی باشد." sqref="H6" xr:uid="{22421B1F-8E66-4B17-ABDB-90B3FBF4DF6F}">
      <formula1>0</formula1>
    </dataValidation>
    <dataValidation type="whole" operator="greaterThanOrEqual" showInputMessage="1" showErrorMessage="1" errorTitle="خطا در ورود اطلاعات!" error="مبلغ مندرج باید عددی غیر اعشاری و نامنفی باشد." sqref="N8:N9 I6:M6" xr:uid="{B94BCDCA-5296-499B-8B09-0DB70DCE4CFA}">
      <formula1>0</formula1>
    </dataValidation>
    <dataValidation type="whole" operator="greaterThanOrEqual" showInputMessage="1" showErrorMessage="1" errorTitle="خطا در ورود اطلاعات!" error="حجم مذکور باید عددی غیر اعشاری و نامنفی باشد." sqref="D8:E8" xr:uid="{07610DDF-09AF-4314-A207-605DA231DC4E}">
      <formula1>0</formula1>
    </dataValidation>
    <dataValidation type="whole" operator="greaterThan" showInputMessage="1" showErrorMessage="1" errorTitle="خطا در ورود اطلاعات!" error="حجم مذکور باید عددی غیر اعشاری و نامنفی باشد؛ همچنین حجم &quot;سقف خوش‌مصرفی&quot; نمی‌تواند کمتر یا مساوی با حجم &quot;سقف کم‌مصرفی&quot; باشد." sqref="H8" xr:uid="{EB5F0271-737C-4719-B938-A079C9358D7C}">
      <formula1>D8</formula1>
    </dataValidation>
    <dataValidation type="whole" operator="greaterThan" showInputMessage="1" showErrorMessage="1" errorTitle="خطا در ورود اطلاعات!" error="حجم مذکور باید عددی غیر اعشاری و نامنفی باشد؛ همچنین حجم &quot;سقف پرمصرفی&quot; نمی‌تواند کمتر یا مساوی با حجم &quot;سقف خوش‌مصرفی&quot; باشد." sqref="K8" xr:uid="{7755EC8A-5BA6-41DD-BE43-FAD5F8FD5182}">
      <formula1>H8</formula1>
    </dataValidation>
    <dataValidation type="decimal" operator="greaterThanOrEqual" showInputMessage="1" showErrorMessage="1" errorTitle="خطا در ورود اطلاعات!" error="ضریب مذکور باید عددی نامنفی باشد." sqref="D9:E9" xr:uid="{6EAB2050-AEA3-4DCF-89AD-0C1D1C8F2DE7}">
      <formula1>0</formula1>
    </dataValidation>
    <dataValidation type="decimal" operator="greaterThanOrEqual" showInputMessage="1" showErrorMessage="1" errorTitle="خطا در ورود اطلاعات!" error="ضریب مذکور باید عددی نامنفی باشد؛ همچنین &quot;ضریب خوش‌مصرفی&quot; نمی‌تواند کمتر از &quot;ضریب کم‌مصرفی&quot; باشد." sqref="H9" xr:uid="{A5E22316-3369-402A-873A-0F27CEAEDE3E}">
      <formula1>D9</formula1>
    </dataValidation>
    <dataValidation type="decimal" operator="greaterThanOrEqual" showInputMessage="1" showErrorMessage="1" errorTitle="خطا در ورود اطلاعات!" error="ضریب مذکور باید عددی نامنفی باشد؛ همچنین &quot;ضریب پرمصرفی&quot; نمی‌تواند کمتر از &quot;ضریب خوش‌مصرفی&quot; باشد." sqref="K9" xr:uid="{EC977A0F-F813-458B-8F38-91A6B297D4C5}">
      <formula1>H9</formula1>
    </dataValidation>
    <dataValidation type="decimal" operator="greaterThan" showInputMessage="1" showErrorMessage="1" errorTitle="اشکال در ورود اطلاعات" error="عدد مندرج در این قسمت باید بزرگ‌تر از 0 (صفر) باشد._x000a_(ضریب خطای کنتور سالم، 1 است.)" sqref="E13:E15" xr:uid="{F1210376-3AF7-48B4-ADCC-A577A78DAF65}">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6EDF852-3A6C-4DCA-A2C1-59F1B47A4BE3}">
          <x14:formula1>
            <xm:f>پارامترها!$A$2:$A$3</xm:f>
          </x14:formula1>
          <xm:sqref>C13:C15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5D63B-1F76-4157-A9CB-54487BC96975}">
  <sheetPr codeName="Sheet5">
    <tabColor rgb="FFFFC000"/>
  </sheetPr>
  <dimension ref="B1:N44"/>
  <sheetViews>
    <sheetView showGridLines="0" rightToLeft="1" zoomScale="110" zoomScaleNormal="110" workbookViewId="0">
      <selection activeCell="L4" sqref="L4:M4"/>
    </sheetView>
  </sheetViews>
  <sheetFormatPr defaultColWidth="9" defaultRowHeight="22.5" customHeight="1" x14ac:dyDescent="0.25"/>
  <cols>
    <col min="1" max="1" width="1.7109375" style="23" customWidth="1"/>
    <col min="2" max="2" width="6.7109375" style="172" customWidth="1"/>
    <col min="3" max="3" width="14.7109375" style="173" customWidth="1"/>
    <col min="4" max="4" width="23.7109375" style="23" customWidth="1"/>
    <col min="5" max="5" width="23.7109375" style="172" customWidth="1"/>
    <col min="6" max="6" width="23.7109375" style="23" customWidth="1"/>
    <col min="7" max="7" width="3.7109375" style="23" customWidth="1"/>
    <col min="8" max="13" width="8.7109375" style="23" customWidth="1"/>
    <col min="14" max="14" width="18.7109375" style="23" customWidth="1"/>
    <col min="15" max="16384" width="9" style="23"/>
  </cols>
  <sheetData>
    <row r="1" spans="2:14" ht="7.5" customHeight="1" thickBot="1" x14ac:dyDescent="0.3"/>
    <row r="2" spans="2:14" ht="31.5" customHeight="1" thickTop="1" thickBot="1" x14ac:dyDescent="0.3">
      <c r="B2" s="367" t="s">
        <v>142</v>
      </c>
      <c r="C2" s="368"/>
      <c r="D2" s="368"/>
      <c r="E2" s="368"/>
      <c r="F2" s="368"/>
      <c r="G2" s="368"/>
      <c r="H2" s="368"/>
      <c r="I2" s="368"/>
      <c r="J2" s="368"/>
      <c r="K2" s="368"/>
      <c r="L2" s="368"/>
      <c r="M2" s="368"/>
      <c r="N2" s="369"/>
    </row>
    <row r="3" spans="2:14" ht="12.75" customHeight="1" thickTop="1" thickBot="1" x14ac:dyDescent="0.3"/>
    <row r="4" spans="2:14" ht="32.1" customHeight="1" thickTop="1" thickBot="1" x14ac:dyDescent="0.3">
      <c r="B4" s="174" t="s">
        <v>0</v>
      </c>
      <c r="C4" s="186" t="s">
        <v>69</v>
      </c>
      <c r="D4" s="187" t="s">
        <v>65</v>
      </c>
      <c r="E4" s="188" t="s">
        <v>66</v>
      </c>
      <c r="F4" s="175" t="s">
        <v>67</v>
      </c>
      <c r="H4" s="372" t="s">
        <v>70</v>
      </c>
      <c r="I4" s="372"/>
      <c r="J4" s="372"/>
      <c r="K4" s="372"/>
      <c r="L4" s="373">
        <v>1400</v>
      </c>
      <c r="M4" s="373"/>
      <c r="N4" s="185"/>
    </row>
    <row r="5" spans="2:14" ht="24.95" customHeight="1" thickTop="1" x14ac:dyDescent="0.25">
      <c r="B5" s="154">
        <v>1</v>
      </c>
      <c r="C5" s="155" t="s">
        <v>53</v>
      </c>
      <c r="D5" s="156">
        <f>SUMIFS(واریزی‌ها!$E:$E,واریزی‌ها!$C:$C,"&gt;="&amp;(INT(($L$4-1282)/4)*366+(($L$4-1279)-INT(($L$4-1282)/4))*365+IF(OR(MOD($L$4,4)=2,MOD($L$4,4)=3),81,82)),واریزی‌ها!$C:$C,"&lt;"&amp;(INT(($L$4-1282)/4)*366+(($L$4-1279)-INT(($L$4-1282)/4))*365+IF(OR(MOD($L$4,4)=2,MOD($L$4,4)=3),81,82)+31))</f>
        <v>0</v>
      </c>
      <c r="E5" s="157">
        <f>SUMIFS(هزینه‌ها!$E:$E,هزینه‌ها!$C:$C,"&gt;="&amp;(INT(($L$4-1282)/4)*366+(($L$4-1279)-INT(($L$4-1282)/4))*365+IF(OR(MOD($L$4,4)=2,MOD($L$4,4)=3),81,82)),هزینه‌ها!$C:$C,"&lt;"&amp;(INT(($L$4-1282)/4)*366+(($L$4-1279)-INT(($L$4-1282)/4))*365+IF(OR(MOD($L$4,4)=2,MOD($L$4,4)=3),81,82)+31))</f>
        <v>0</v>
      </c>
      <c r="F5" s="158">
        <f>D5-E5</f>
        <v>0</v>
      </c>
      <c r="H5" s="159"/>
      <c r="I5" s="159"/>
      <c r="J5" s="160"/>
      <c r="K5" s="160"/>
      <c r="L5" s="161"/>
    </row>
    <row r="6" spans="2:14" ht="24.95" customHeight="1" x14ac:dyDescent="0.25">
      <c r="B6" s="154">
        <v>2</v>
      </c>
      <c r="C6" s="162" t="s">
        <v>54</v>
      </c>
      <c r="D6" s="156">
        <f>SUMIFS(واریزی‌ها!$E:$E,واریزی‌ها!$C:$C,"&gt;="&amp;(INT(($L$4-1282)/4)*366+(($L$4-1279)-INT(($L$4-1282)/4))*365+IF(OR(MOD($L$4,4)=2,MOD($L$4,4)=3),81,82)+31),واریزی‌ها!$C:$C,"&lt;"&amp;(INT(($L$4-1282)/4)*366+(($L$4-1279)-INT(($L$4-1282)/4))*365+IF(OR(MOD($L$4,4)=2,MOD($L$4,4)=3),81,82)+62))</f>
        <v>0</v>
      </c>
      <c r="E6" s="157">
        <f>SUMIFS(هزینه‌ها!$E:$E,هزینه‌ها!$C:$C,"&gt;="&amp;(INT(($L$4-1282)/4)*366+(($L$4-1279)-INT(($L$4-1282)/4))*365+IF(OR(MOD($L$4,4)=2,MOD($L$4,4)=3),81,82)+31),هزینه‌ها!$C:$C,"&lt;"&amp;(INT(($L$4-1282)/4)*366+(($L$4-1279)-INT(($L$4-1282)/4))*365+IF(OR(MOD($L$4,4)=2,MOD($L$4,4)=3),81,82)+62))</f>
        <v>0</v>
      </c>
      <c r="F6" s="158">
        <f t="shared" ref="F6:F16" si="0">D6-E6</f>
        <v>0</v>
      </c>
      <c r="H6" s="374"/>
      <c r="I6" s="374"/>
      <c r="J6" s="374"/>
      <c r="K6" s="374"/>
      <c r="L6" s="374"/>
    </row>
    <row r="7" spans="2:14" ht="24.95" customHeight="1" x14ac:dyDescent="0.25">
      <c r="B7" s="154">
        <v>3</v>
      </c>
      <c r="C7" s="162" t="s">
        <v>55</v>
      </c>
      <c r="D7" s="156">
        <f>SUMIFS(واریزی‌ها!$E:$E,واریزی‌ها!$C:$C,"&gt;="&amp;(INT(($L$4-1282)/4)*366+(($L$4-1279)-INT(($L$4-1282)/4))*365+IF(OR(MOD($L$4,4)=2,MOD($L$4,4)=3),81,82)+62),واریزی‌ها!$C:$C,"&lt;"&amp;(INT(($L$4-1282)/4)*366+(($L$4-1279)-INT(($L$4-1282)/4))*365+IF(OR(MOD($L$4,4)=2,MOD($L$4,4)=3),81,82)+93))</f>
        <v>0</v>
      </c>
      <c r="E7" s="157">
        <f>SUMIFS(هزینه‌ها!$E:$E,هزینه‌ها!$C:$C,"&gt;="&amp;(INT(($L$4-1282)/4)*366+(($L$4-1279)-INT(($L$4-1282)/4))*365+IF(OR(MOD($L$4,4)=2,MOD($L$4,4)=3),81,82)+62),هزینه‌ها!$C:$C,"&lt;"&amp;(INT(($L$4-1282)/4)*366+(($L$4-1279)-INT(($L$4-1282)/4))*365+IF(OR(MOD($L$4,4)=2,MOD($L$4,4)=3),81,82)+93))</f>
        <v>0</v>
      </c>
      <c r="F7" s="158">
        <f t="shared" si="0"/>
        <v>0</v>
      </c>
      <c r="H7" s="374"/>
      <c r="I7" s="374"/>
      <c r="J7" s="374"/>
      <c r="K7" s="374"/>
      <c r="L7" s="374"/>
    </row>
    <row r="8" spans="2:14" ht="24.95" customHeight="1" x14ac:dyDescent="0.25">
      <c r="B8" s="154">
        <v>4</v>
      </c>
      <c r="C8" s="162" t="s">
        <v>56</v>
      </c>
      <c r="D8" s="156">
        <f>SUMIFS(واریزی‌ها!$E:$E,واریزی‌ها!$C:$C,"&gt;="&amp;(INT(($L$4-1282)/4)*366+(($L$4-1279)-INT(($L$4-1282)/4))*365+IF(OR(MOD($L$4,4)=2,MOD($L$4,4)=3),81,82)+93),واریزی‌ها!$C:$C,"&lt;"&amp;(INT(($L$4-1282)/4)*366+(($L$4-1279)-INT(($L$4-1282)/4))*365+IF(OR(MOD($L$4,4)=2,MOD($L$4,4)=3),81,82)+124))</f>
        <v>0</v>
      </c>
      <c r="E8" s="157">
        <f>SUMIFS(هزینه‌ها!$E:$E,هزینه‌ها!$C:$C,"&gt;="&amp;(INT(($L$4-1282)/4)*366+(($L$4-1279)-INT(($L$4-1282)/4))*365+IF(OR(MOD($L$4,4)=2,MOD($L$4,4)=3),81,82)+93),هزینه‌ها!$C:$C,"&lt;"&amp;(INT(($L$4-1282)/4)*366+(($L$4-1279)-INT(($L$4-1282)/4))*365+IF(OR(MOD($L$4,4)=2,MOD($L$4,4)=3),81,82)+124))</f>
        <v>0</v>
      </c>
      <c r="F8" s="158">
        <f t="shared" si="0"/>
        <v>0</v>
      </c>
      <c r="H8" s="163"/>
      <c r="I8" s="375"/>
      <c r="J8" s="375"/>
      <c r="K8" s="376"/>
      <c r="L8" s="376"/>
    </row>
    <row r="9" spans="2:14" ht="24.95" customHeight="1" x14ac:dyDescent="0.25">
      <c r="B9" s="154">
        <v>5</v>
      </c>
      <c r="C9" s="162" t="s">
        <v>57</v>
      </c>
      <c r="D9" s="156">
        <f>SUMIFS(واریزی‌ها!$E:$E,واریزی‌ها!$C:$C,"&gt;="&amp;(INT(($L$4-1282)/4)*366+(($L$4-1279)-INT(($L$4-1282)/4))*365+IF(OR(MOD($L$4,4)=2,MOD($L$4,4)=3),81,82)+124),واریزی‌ها!$C:$C,"&lt;"&amp;(INT(($L$4-1282)/4)*366+(($L$4-1279)-INT(($L$4-1282)/4))*365+IF(OR(MOD($L$4,4)=2,MOD($L$4,4)=3),81,82)+155))</f>
        <v>0</v>
      </c>
      <c r="E9" s="157">
        <f>SUMIFS(هزینه‌ها!$E:$E,هزینه‌ها!$C:$C,"&gt;="&amp;(INT(($L$4-1282)/4)*366+(($L$4-1279)-INT(($L$4-1282)/4))*365+IF(OR(MOD($L$4,4)=2,MOD($L$4,4)=3),81,82)+124),هزینه‌ها!$C:$C,"&lt;"&amp;(INT(($L$4-1282)/4)*366+(($L$4-1279)-INT(($L$4-1282)/4))*365+IF(OR(MOD($L$4,4)=2,MOD($L$4,4)=3),81,82)+155))</f>
        <v>0</v>
      </c>
      <c r="F9" s="158">
        <f t="shared" si="0"/>
        <v>0</v>
      </c>
      <c r="H9" s="163"/>
      <c r="I9" s="375"/>
      <c r="J9" s="375"/>
      <c r="K9" s="377"/>
      <c r="L9" s="377"/>
    </row>
    <row r="10" spans="2:14" ht="24.95" customHeight="1" x14ac:dyDescent="0.25">
      <c r="B10" s="154">
        <v>6</v>
      </c>
      <c r="C10" s="162" t="s">
        <v>58</v>
      </c>
      <c r="D10" s="156">
        <f>SUMIFS(واریزی‌ها!$E:$E,واریزی‌ها!$C:$C,"&gt;="&amp;(INT(($L$4-1282)/4)*366+(($L$4-1279)-INT(($L$4-1282)/4))*365+IF(OR(MOD($L$4,4)=2,MOD($L$4,4)=3),81,82)+155),واریزی‌ها!$C:$C,"&lt;"&amp;(INT(($L$4-1282)/4)*366+(($L$4-1279)-INT(($L$4-1282)/4))*365+IF(OR(MOD($L$4,4)=2,MOD($L$4,4)=3),81,82)+186))</f>
        <v>0</v>
      </c>
      <c r="E10" s="157">
        <f>SUMIFS(هزینه‌ها!$E:$E,هزینه‌ها!$C:$C,"&gt;="&amp;(INT(($L$4-1282)/4)*366+(($L$4-1279)-INT(($L$4-1282)/4))*365+IF(OR(MOD($L$4,4)=2,MOD($L$4,4)=3),81,82)+155),هزینه‌ها!$C:$C,"&lt;"&amp;(INT(($L$4-1282)/4)*366+(($L$4-1279)-INT(($L$4-1282)/4))*365+IF(OR(MOD($L$4,4)=2,MOD($L$4,4)=3),81,82)+186))</f>
        <v>0</v>
      </c>
      <c r="F10" s="158">
        <f t="shared" si="0"/>
        <v>0</v>
      </c>
      <c r="J10" s="164"/>
    </row>
    <row r="11" spans="2:14" ht="24.95" customHeight="1" x14ac:dyDescent="0.25">
      <c r="B11" s="154">
        <v>7</v>
      </c>
      <c r="C11" s="162" t="s">
        <v>59</v>
      </c>
      <c r="D11" s="156">
        <f>SUMIFS(واریزی‌ها!$E:$E,واریزی‌ها!$C:$C,"&gt;="&amp;(INT(($L$4-1282)/4)*366+(($L$4-1279)-INT(($L$4-1282)/4))*365+IF(OR(MOD($L$4,4)=2,MOD($L$4,4)=3),81,82)+186),واریزی‌ها!$C:$C,"&lt;"&amp;(INT(($L$4-1282)/4)*366+(($L$4-1279)-INT(($L$4-1282)/4))*365+IF(OR(MOD($L$4,4)=2,MOD($L$4,4)=3),81,82)+216))</f>
        <v>0</v>
      </c>
      <c r="E11" s="157">
        <f>SUMIFS(هزینه‌ها!$E:$E,هزینه‌ها!$C:$C,"&gt;="&amp;(INT(($L$4-1282)/4)*366+(($L$4-1279)-INT(($L$4-1282)/4))*365+IF(OR(MOD($L$4,4)=2,MOD($L$4,4)=3),81,82)+186),هزینه‌ها!$C:$C,"&lt;"&amp;(INT(($L$4-1282)/4)*366+(($L$4-1279)-INT(($L$4-1282)/4))*365+IF(OR(MOD($L$4,4)=2,MOD($L$4,4)=3),81,82)+216))</f>
        <v>0</v>
      </c>
      <c r="F11" s="158">
        <f t="shared" si="0"/>
        <v>0</v>
      </c>
      <c r="I11" s="165"/>
      <c r="J11" s="164"/>
      <c r="K11" s="166"/>
    </row>
    <row r="12" spans="2:14" ht="24.95" customHeight="1" x14ac:dyDescent="0.25">
      <c r="B12" s="154">
        <v>8</v>
      </c>
      <c r="C12" s="162" t="s">
        <v>60</v>
      </c>
      <c r="D12" s="156">
        <f>SUMIFS(واریزی‌ها!$E:$E,واریزی‌ها!$C:$C,"&gt;="&amp;(INT(($L$4-1282)/4)*366+(($L$4-1279)-INT(($L$4-1282)/4))*365+IF(OR(MOD($L$4,4)=2,MOD($L$4,4)=3),81,82)+216),واریزی‌ها!$C:$C,"&lt;"&amp;(INT(($L$4-1282)/4)*366+(($L$4-1279)-INT(($L$4-1282)/4))*365+IF(OR(MOD($L$4,4)=2,MOD($L$4,4)=3),81,82)+246))</f>
        <v>0</v>
      </c>
      <c r="E12" s="157">
        <f>SUMIFS(هزینه‌ها!$E:$E,هزینه‌ها!$C:$C,"&gt;="&amp;(INT(($L$4-1282)/4)*366+(($L$4-1279)-INT(($L$4-1282)/4))*365+IF(OR(MOD($L$4,4)=2,MOD($L$4,4)=3),81,82)+216),هزینه‌ها!$C:$C,"&lt;"&amp;(INT(($L$4-1282)/4)*366+(($L$4-1279)-INT(($L$4-1282)/4))*365+IF(OR(MOD($L$4,4)=2,MOD($L$4,4)=3),81,82)+246))</f>
        <v>0</v>
      </c>
      <c r="F12" s="158">
        <f t="shared" si="0"/>
        <v>0</v>
      </c>
    </row>
    <row r="13" spans="2:14" ht="24.95" customHeight="1" x14ac:dyDescent="0.25">
      <c r="B13" s="154">
        <v>9</v>
      </c>
      <c r="C13" s="162" t="s">
        <v>61</v>
      </c>
      <c r="D13" s="156">
        <f>SUMIFS(واریزی‌ها!$E:$E,واریزی‌ها!$C:$C,"&gt;="&amp;(INT(($L$4-1282)/4)*366+(($L$4-1279)-INT(($L$4-1282)/4))*365+IF(OR(MOD($L$4,4)=2,MOD($L$4,4)=3),81,82)+246),واریزی‌ها!$C:$C,"&lt;"&amp;(INT(($L$4-1282)/4)*366+(($L$4-1279)-INT(($L$4-1282)/4))*365+IF(OR(MOD($L$4,4)=2,MOD($L$4,4)=3),81,82)+276))</f>
        <v>0</v>
      </c>
      <c r="E13" s="157">
        <f>SUMIFS(هزینه‌ها!$E:$E,هزینه‌ها!$C:$C,"&gt;="&amp;(INT(($L$4-1282)/4)*366+(($L$4-1279)-INT(($L$4-1282)/4))*365+IF(OR(MOD($L$4,4)=2,MOD($L$4,4)=3),81,82)+246),هزینه‌ها!$C:$C,"&lt;"&amp;(INT(($L$4-1282)/4)*366+(($L$4-1279)-INT(($L$4-1282)/4))*365+IF(OR(MOD($L$4,4)=2,MOD($L$4,4)=3),81,82)+276))</f>
        <v>0</v>
      </c>
      <c r="F13" s="158">
        <f t="shared" si="0"/>
        <v>0</v>
      </c>
      <c r="I13" s="167"/>
      <c r="K13" s="168"/>
    </row>
    <row r="14" spans="2:14" ht="24.95" customHeight="1" x14ac:dyDescent="0.25">
      <c r="B14" s="154">
        <v>10</v>
      </c>
      <c r="C14" s="162" t="s">
        <v>62</v>
      </c>
      <c r="D14" s="156">
        <f>SUMIFS(واریزی‌ها!$E:$E,واریزی‌ها!$C:$C,"&gt;="&amp;(INT(($L$4-1282)/4)*366+(($L$4-1279)-INT(($L$4-1282)/4))*365+IF(OR(MOD($L$4,4)=2,MOD($L$4,4)=3),81,82)+276),واریزی‌ها!$C:$C,"&lt;"&amp;(INT(($L$4-1282)/4)*366+(($L$4-1279)-INT(($L$4-1282)/4))*365+IF(OR(MOD($L$4,4)=2,MOD($L$4,4)=3),81,82)+306))</f>
        <v>0</v>
      </c>
      <c r="E14" s="157">
        <f>SUMIFS(هزینه‌ها!$E:$E,هزینه‌ها!$C:$C,"&gt;="&amp;(INT(($L$4-1282)/4)*366+(($L$4-1279)-INT(($L$4-1282)/4))*365+IF(OR(MOD($L$4,4)=2,MOD($L$4,4)=3),81,82)+276),هزینه‌ها!$C:$C,"&lt;"&amp;(INT(($L$4-1282)/4)*366+(($L$4-1279)-INT(($L$4-1282)/4))*365+IF(OR(MOD($L$4,4)=2,MOD($L$4,4)=3),81,82)+306))</f>
        <v>0</v>
      </c>
      <c r="F14" s="158">
        <f t="shared" si="0"/>
        <v>0</v>
      </c>
    </row>
    <row r="15" spans="2:14" ht="24.95" customHeight="1" x14ac:dyDescent="0.25">
      <c r="B15" s="154">
        <v>11</v>
      </c>
      <c r="C15" s="162" t="s">
        <v>63</v>
      </c>
      <c r="D15" s="156">
        <f>SUMIFS(واریزی‌ها!$E:$E,واریزی‌ها!$C:$C,"&gt;="&amp;(INT(($L$4-1282)/4)*366+(($L$4-1279)-INT(($L$4-1282)/4))*365+IF(OR(MOD($L$4,4)=2,MOD($L$4,4)=3),81,82)+306),واریزی‌ها!$C:$C,"&lt;"&amp;(INT(($L$4-1282)/4)*366+(($L$4-1279)-INT(($L$4-1282)/4))*365+IF(OR(MOD($L$4,4)=2,MOD($L$4,4)=3),81,82)+336))</f>
        <v>0</v>
      </c>
      <c r="E15" s="157">
        <f>SUMIFS(هزینه‌ها!$E:$E,هزینه‌ها!$C:$C,"&gt;="&amp;(INT(($L$4-1282)/4)*366+(($L$4-1279)-INT(($L$4-1282)/4))*365+IF(OR(MOD($L$4,4)=2,MOD($L$4,4)=3),81,82)+306),هزینه‌ها!$C:$C,"&lt;"&amp;(INT(($L$4-1282)/4)*366+(($L$4-1279)-INT(($L$4-1282)/4))*365+IF(OR(MOD($L$4,4)=2,MOD($L$4,4)=3),81,82)+336))</f>
        <v>0</v>
      </c>
      <c r="F15" s="158">
        <f t="shared" si="0"/>
        <v>0</v>
      </c>
    </row>
    <row r="16" spans="2:14" ht="24.95" customHeight="1" thickBot="1" x14ac:dyDescent="0.3">
      <c r="B16" s="154">
        <v>12</v>
      </c>
      <c r="C16" s="162" t="s">
        <v>64</v>
      </c>
      <c r="D16" s="156">
        <f>SUMIFS(واریزی‌ها!$E:$E,واریزی‌ها!$C:$C,"&gt;="&amp;(INT(($L$4-1282)/4)*366+(($L$4-1279)-INT(($L$4-1282)/4))*365+IF(OR(MOD($L$4,4)=2,MOD($L$4,4)=3),81,82)+336),واریزی‌ها!$C:$C,"&lt;"&amp;(INT(($L$4-1282)/4)*366+(($L$4-1279)-INT(($L$4-1282)/4))*365+IF(OR(MOD($L$4,4)=2,MOD($L$4,4)=3),81,82)+IF(MOD($L$4,4)=3,366,365)))</f>
        <v>0</v>
      </c>
      <c r="E16" s="157">
        <f>SUMIFS(هزینه‌ها!$E:$E,هزینه‌ها!$C:$C,"&gt;="&amp;(INT(($L$4-1282)/4)*366+(($L$4-1279)-INT(($L$4-1282)/4))*365+IF(OR(MOD($L$4,4)=2,MOD($L$4,4)=3),81,82)+336),هزینه‌ها!$C:$C,"&lt;"&amp;(INT(($L$4-1282)/4)*366+(($L$4-1279)-INT(($L$4-1282)/4))*365+IF(OR(MOD($L$4,4)=2,MOD($L$4,4)=3),81,82)+IF(MOD($L$4,4)=3,366,365)))</f>
        <v>0</v>
      </c>
      <c r="F16" s="158">
        <f t="shared" si="0"/>
        <v>0</v>
      </c>
    </row>
    <row r="17" spans="2:14" ht="39.950000000000003" customHeight="1" thickTop="1" thickBot="1" x14ac:dyDescent="0.3">
      <c r="B17" s="370" t="s">
        <v>68</v>
      </c>
      <c r="C17" s="371"/>
      <c r="D17" s="169">
        <f>SUM(D5:D16)</f>
        <v>0</v>
      </c>
      <c r="E17" s="170">
        <f>SUM(E5:E16)</f>
        <v>0</v>
      </c>
      <c r="F17" s="171">
        <f>SUM(F5:F16)</f>
        <v>0</v>
      </c>
    </row>
    <row r="18" spans="2:14" ht="22.5" customHeight="1" thickTop="1" x14ac:dyDescent="0.25"/>
    <row r="19" spans="2:14" ht="22.5" customHeight="1" x14ac:dyDescent="0.25">
      <c r="B19" s="378"/>
      <c r="C19" s="378"/>
      <c r="D19" s="378"/>
      <c r="E19" s="378"/>
      <c r="F19" s="378"/>
      <c r="G19" s="378"/>
      <c r="H19" s="378"/>
      <c r="I19" s="378"/>
      <c r="J19" s="378"/>
      <c r="K19" s="378"/>
      <c r="L19" s="378"/>
      <c r="M19" s="378"/>
      <c r="N19" s="378"/>
    </row>
    <row r="20" spans="2:14" ht="9" customHeight="1" thickBot="1" x14ac:dyDescent="0.3"/>
    <row r="21" spans="2:14" ht="31.5" customHeight="1" thickTop="1" thickBot="1" x14ac:dyDescent="0.3">
      <c r="B21" s="367" t="s">
        <v>143</v>
      </c>
      <c r="C21" s="368"/>
      <c r="D21" s="368"/>
      <c r="E21" s="368"/>
      <c r="F21" s="368"/>
      <c r="G21" s="368"/>
      <c r="H21" s="368"/>
      <c r="I21" s="368"/>
      <c r="J21" s="368"/>
      <c r="K21" s="368"/>
      <c r="L21" s="368"/>
      <c r="M21" s="368"/>
      <c r="N21" s="369"/>
    </row>
    <row r="22" spans="2:14" ht="22.5" customHeight="1" thickTop="1" thickBot="1" x14ac:dyDescent="0.3"/>
    <row r="23" spans="2:14" ht="32.1" customHeight="1" thickTop="1" thickBot="1" x14ac:dyDescent="0.3">
      <c r="B23" s="174" t="s">
        <v>0</v>
      </c>
      <c r="C23" s="355" t="s">
        <v>89</v>
      </c>
      <c r="D23" s="355"/>
      <c r="E23" s="175" t="s">
        <v>65</v>
      </c>
      <c r="N23" s="352" t="s">
        <v>88</v>
      </c>
    </row>
    <row r="24" spans="2:14" ht="22.5" customHeight="1" thickTop="1" x14ac:dyDescent="0.25">
      <c r="B24" s="154">
        <v>1</v>
      </c>
      <c r="C24" s="356" t="s">
        <v>73</v>
      </c>
      <c r="D24" s="356"/>
      <c r="E24" s="176">
        <f>SUMIFS(واریزی‌ها!$E:$E,واریزی‌ها!$D:$D,"شارژ ماهانه",واریزی‌ها!$C:$C,"&gt;="&amp;(INT(($L$4-1282)/4)*366+(($L$4-1279)-INT(($L$4-1282)/4))*365+IF(OR(MOD($L$4,4)=2,MOD($L$4,4)=3),81,82)),واریزی‌ها!$C:$C,"&lt;"&amp;(INT(($L$4-1282)/4)*366+(($L$4-1279)-INT(($L$4-1282)/4))*365+IF(OR(MOD($L$4,4)=2,MOD($L$4,4)=3),81,82)+IF(MOD($L$4,4)=3,366,365)))</f>
        <v>0</v>
      </c>
      <c r="N24" s="353"/>
    </row>
    <row r="25" spans="2:14" ht="22.5" customHeight="1" x14ac:dyDescent="0.25">
      <c r="B25" s="177">
        <v>2</v>
      </c>
      <c r="C25" s="357" t="s">
        <v>74</v>
      </c>
      <c r="D25" s="357"/>
      <c r="E25" s="176">
        <f>SUMIFS(واریزی‌ها!$E:$E,واریزی‌ها!$D:$D,"سهم قبض آب",واریزی‌ها!$C:$C,"&gt;="&amp;(INT(($L$4-1282)/4)*366+(($L$4-1279)-INT(($L$4-1282)/4))*365+IF(OR(MOD($L$4,4)=2,MOD($L$4,4)=3),81,82)),واریزی‌ها!$C:$C,"&lt;"&amp;(INT(($L$4-1282)/4)*366+(($L$4-1279)-INT(($L$4-1282)/4))*365+IF(OR(MOD($L$4,4)=2,MOD($L$4,4)=3),81,82)+IF(MOD($L$4,4)=3,366,365)))</f>
        <v>0</v>
      </c>
      <c r="N25" s="353"/>
    </row>
    <row r="26" spans="2:14" ht="22.5" customHeight="1" x14ac:dyDescent="0.25">
      <c r="B26" s="177">
        <v>3</v>
      </c>
      <c r="C26" s="357" t="s">
        <v>116</v>
      </c>
      <c r="D26" s="357"/>
      <c r="E26" s="176">
        <f>SUMIFS(واریزی‌ها!$E:$E,واریزی‌ها!$D:$D,"حق ورودی",واریزی‌ها!$C:$C,"&gt;="&amp;(INT(($L$4-1282)/4)*366+(($L$4-1279)-INT(($L$4-1282)/4))*365+IF(OR(MOD($L$4,4)=2,MOD($L$4,4)=3),81,82)),واریزی‌ها!$C:$C,"&lt;"&amp;(INT(($L$4-1282)/4)*366+(($L$4-1279)-INT(($L$4-1282)/4))*365+IF(OR(MOD($L$4,4)=2,MOD($L$4,4)=3),81,82)+IF(MOD($L$4,4)=3,366,365)))</f>
        <v>0</v>
      </c>
      <c r="N26" s="353"/>
    </row>
    <row r="27" spans="2:14" ht="22.5" customHeight="1" thickBot="1" x14ac:dyDescent="0.3">
      <c r="B27" s="178">
        <v>4</v>
      </c>
      <c r="C27" s="364" t="s">
        <v>91</v>
      </c>
      <c r="D27" s="364"/>
      <c r="E27" s="176">
        <f>SUMIFS(واریزی‌ها!$E:$E,واریزی‌ها!$D:$D,"واریزی متفرقه",واریزی‌ها!$C:$C,"&gt;="&amp;(INT(($L$4-1282)/4)*366+(($L$4-1279)-INT(($L$4-1282)/4))*365+IF(OR(MOD($L$4,4)=2,MOD($L$4,4)=3),81,82)),واریزی‌ها!$C:$C,"&lt;"&amp;(INT(($L$4-1282)/4)*366+(($L$4-1279)-INT(($L$4-1282)/4))*365+IF(OR(MOD($L$4,4)=2,MOD($L$4,4)=3),81,82)+IF(MOD($L$4,4)=3,366,365)))</f>
        <v>0</v>
      </c>
      <c r="N27" s="353"/>
    </row>
    <row r="28" spans="2:14" ht="39.950000000000003" customHeight="1" thickTop="1" thickBot="1" x14ac:dyDescent="0.3">
      <c r="B28" s="362" t="s">
        <v>68</v>
      </c>
      <c r="C28" s="363"/>
      <c r="D28" s="363"/>
      <c r="E28" s="171">
        <f>SUM(E24:E27)</f>
        <v>0</v>
      </c>
      <c r="N28" s="354"/>
    </row>
    <row r="29" spans="2:14" ht="22.5" customHeight="1" thickTop="1" thickBot="1" x14ac:dyDescent="0.3"/>
    <row r="30" spans="2:14" ht="32.1" customHeight="1" thickTop="1" thickBot="1" x14ac:dyDescent="0.3">
      <c r="B30" s="174" t="s">
        <v>0</v>
      </c>
      <c r="C30" s="355" t="s">
        <v>90</v>
      </c>
      <c r="D30" s="355"/>
      <c r="E30" s="175" t="s">
        <v>66</v>
      </c>
      <c r="F30" s="179"/>
      <c r="N30" s="358" t="s">
        <v>117</v>
      </c>
    </row>
    <row r="31" spans="2:14" ht="22.5" customHeight="1" thickTop="1" x14ac:dyDescent="0.25">
      <c r="B31" s="154">
        <v>1</v>
      </c>
      <c r="C31" s="356" t="s">
        <v>75</v>
      </c>
      <c r="D31" s="356"/>
      <c r="E31" s="180">
        <f>SUMIFS(هزینه‌ها!$E:$E,هزینه‌ها!$D:$D,"قبض آب",هزینه‌ها!$C:$C,"&gt;="&amp;(INT(($L$4-1282)/4)*366+(($L$4-1279)-INT(($L$4-1282)/4))*365+IF(OR(MOD($L$4,4)=2,MOD($L$4,4)=3),81,82)),هزینه‌ها!$C:$C,"&lt;"&amp;(INT(($L$4-1282)/4)*366+(($L$4-1279)-INT(($L$4-1282)/4))*365+IF(OR(MOD($L$4,4)=2,MOD($L$4,4)=3),81,82)+IF(MOD($L$4,4)=3,366,365)))</f>
        <v>0</v>
      </c>
      <c r="F31" s="181"/>
      <c r="N31" s="359"/>
    </row>
    <row r="32" spans="2:14" ht="22.5" customHeight="1" x14ac:dyDescent="0.25">
      <c r="B32" s="177">
        <v>2</v>
      </c>
      <c r="C32" s="357" t="s">
        <v>77</v>
      </c>
      <c r="D32" s="357"/>
      <c r="E32" s="180">
        <f>SUMIFS(هزینه‌ها!$E:$E,هزینه‌ها!$D:$D,"قبض برق",هزینه‌ها!$C:$C,"&gt;="&amp;(INT(($L$4-1282)/4)*366+(($L$4-1279)-INT(($L$4-1282)/4))*365+IF(OR(MOD($L$4,4)=2,MOD($L$4,4)=3),81,82)),هزینه‌ها!$C:$C,"&lt;"&amp;(INT(($L$4-1282)/4)*366+(($L$4-1279)-INT(($L$4-1282)/4))*365+IF(OR(MOD($L$4,4)=2,MOD($L$4,4)=3),81,82)+IF(MOD($L$4,4)=3,366,365)))</f>
        <v>0</v>
      </c>
      <c r="F32" s="181"/>
      <c r="N32" s="359"/>
    </row>
    <row r="33" spans="2:14" ht="22.5" customHeight="1" x14ac:dyDescent="0.25">
      <c r="B33" s="177">
        <v>3</v>
      </c>
      <c r="C33" s="365" t="s">
        <v>76</v>
      </c>
      <c r="D33" s="366"/>
      <c r="E33" s="180">
        <f>SUMIFS(هزینه‌ها!$E:$E,هزینه‌ها!$D:$D,"نظافت مجتمع",هزینه‌ها!$C:$C,"&gt;="&amp;(INT(($L$4-1282)/4)*366+(($L$4-1279)-INT(($L$4-1282)/4))*365+IF(OR(MOD($L$4,4)=2,MOD($L$4,4)=3),81,82)),هزینه‌ها!$C:$C,"&lt;"&amp;(INT(($L$4-1282)/4)*366+(($L$4-1279)-INT(($L$4-1282)/4))*365+IF(OR(MOD($L$4,4)=2,MOD($L$4,4)=3),81,82)+IF(MOD($L$4,4)=3,366,365)))</f>
        <v>0</v>
      </c>
      <c r="F33" s="181"/>
      <c r="N33" s="359"/>
    </row>
    <row r="34" spans="2:14" ht="22.5" customHeight="1" x14ac:dyDescent="0.25">
      <c r="B34" s="177">
        <v>4</v>
      </c>
      <c r="C34" s="365" t="s">
        <v>78</v>
      </c>
      <c r="D34" s="366"/>
      <c r="E34" s="180">
        <f>SUMIFS(هزینه‌ها!$E:$E,هزینه‌ها!$D:$D,"اقلام مصرفی",هزینه‌ها!$C:$C,"&gt;="&amp;(INT(($L$4-1282)/4)*366+(($L$4-1279)-INT(($L$4-1282)/4))*365+IF(OR(MOD($L$4,4)=2,MOD($L$4,4)=3),81,82)),هزینه‌ها!$C:$C,"&lt;"&amp;(INT(($L$4-1282)/4)*366+(($L$4-1279)-INT(($L$4-1282)/4))*365+IF(OR(MOD($L$4,4)=2,MOD($L$4,4)=3),81,82)+IF(MOD($L$4,4)=3,366,365)))</f>
        <v>0</v>
      </c>
      <c r="F34" s="181"/>
      <c r="N34" s="359"/>
    </row>
    <row r="35" spans="2:14" ht="22.5" customHeight="1" x14ac:dyDescent="0.25">
      <c r="B35" s="177">
        <v>5</v>
      </c>
      <c r="C35" s="365" t="s">
        <v>115</v>
      </c>
      <c r="D35" s="366"/>
      <c r="E35" s="180">
        <f>SUMIFS(هزینه‌ها!$E:$E,هزینه‌ها!$D:$D,"سرویس آسانسور",هزینه‌ها!$C:$C,"&gt;="&amp;(INT(($L$4-1282)/4)*366+(($L$4-1279)-INT(($L$4-1282)/4))*365+IF(OR(MOD($L$4,4)=2,MOD($L$4,4)=3),81,82)),هزینه‌ها!$C:$C,"&lt;"&amp;(INT(($L$4-1282)/4)*366+(($L$4-1279)-INT(($L$4-1282)/4))*365+IF(OR(MOD($L$4,4)=2,MOD($L$4,4)=3),81,82)+IF(MOD($L$4,4)=3,366,365)))</f>
        <v>0</v>
      </c>
      <c r="F35" s="181"/>
      <c r="N35" s="359"/>
    </row>
    <row r="36" spans="2:14" ht="22.5" customHeight="1" x14ac:dyDescent="0.25">
      <c r="B36" s="177">
        <v>6</v>
      </c>
      <c r="C36" s="365" t="s">
        <v>79</v>
      </c>
      <c r="D36" s="366"/>
      <c r="E36" s="180">
        <f>SUMIFS(هزینه‌ها!$E:$E,هزینه‌ها!$D:$D,"تعمیرات مجتمع",هزینه‌ها!$C:$C,"&gt;="&amp;(INT(($L$4-1282)/4)*366+(($L$4-1279)-INT(($L$4-1282)/4))*365+IF(OR(MOD($L$4,4)=2,MOD($L$4,4)=3),81,82)),هزینه‌ها!$C:$C,"&lt;"&amp;(INT(($L$4-1282)/4)*366+(($L$4-1279)-INT(($L$4-1282)/4))*365+IF(OR(MOD($L$4,4)=2,MOD($L$4,4)=3),81,82)+IF(MOD($L$4,4)=3,366,365)))</f>
        <v>0</v>
      </c>
      <c r="F36" s="181"/>
      <c r="N36" s="359"/>
    </row>
    <row r="37" spans="2:14" ht="22.5" customHeight="1" x14ac:dyDescent="0.25">
      <c r="B37" s="177">
        <v>7</v>
      </c>
      <c r="C37" s="357" t="s">
        <v>80</v>
      </c>
      <c r="D37" s="357"/>
      <c r="E37" s="180">
        <f>SUMIFS(هزینه‌ها!$E:$E,هزینه‌ها!$D:$D,"بیمه مجتمع",هزینه‌ها!$C:$C,"&gt;="&amp;(INT(($L$4-1282)/4)*366+(($L$4-1279)-INT(($L$4-1282)/4))*365+IF(OR(MOD($L$4,4)=2,MOD($L$4,4)=3),81,82)),هزینه‌ها!$C:$C,"&lt;"&amp;(INT(($L$4-1282)/4)*366+(($L$4-1279)-INT(($L$4-1282)/4))*365+IF(OR(MOD($L$4,4)=2,MOD($L$4,4)=3),81,82)+IF(MOD($L$4,4)=3,366,365)))</f>
        <v>0</v>
      </c>
      <c r="F37" s="181"/>
      <c r="N37" s="359"/>
    </row>
    <row r="38" spans="2:14" ht="22.5" customHeight="1" thickBot="1" x14ac:dyDescent="0.3">
      <c r="B38" s="178">
        <v>8</v>
      </c>
      <c r="C38" s="364" t="s">
        <v>92</v>
      </c>
      <c r="D38" s="364"/>
      <c r="E38" s="180">
        <f>SUMIFS(هزینه‌ها!$E:$E,هزینه‌ها!$D:$D,"هزینه‌ی متفرقه",هزینه‌ها!$C:$C,"&gt;="&amp;(INT(($L$4-1282)/4)*366+(($L$4-1279)-INT(($L$4-1282)/4))*365+IF(OR(MOD($L$4,4)=2,MOD($L$4,4)=3),81,82)),هزینه‌ها!$C:$C,"&lt;"&amp;(INT(($L$4-1282)/4)*366+(($L$4-1279)-INT(($L$4-1282)/4))*365+IF(OR(MOD($L$4,4)=2,MOD($L$4,4)=3),81,82)+IF(MOD($L$4,4)=3,366,365)))</f>
        <v>0</v>
      </c>
      <c r="F38" s="181"/>
      <c r="N38" s="359"/>
    </row>
    <row r="39" spans="2:14" ht="39.950000000000003" customHeight="1" thickTop="1" thickBot="1" x14ac:dyDescent="0.3">
      <c r="B39" s="362" t="s">
        <v>68</v>
      </c>
      <c r="C39" s="363"/>
      <c r="D39" s="363"/>
      <c r="E39" s="182">
        <f>SUM(E31:E38)</f>
        <v>0</v>
      </c>
      <c r="F39" s="181"/>
      <c r="N39" s="360"/>
    </row>
    <row r="40" spans="2:14" ht="22.5" customHeight="1" thickTop="1" x14ac:dyDescent="0.25">
      <c r="D40" s="117"/>
      <c r="E40" s="183"/>
      <c r="F40" s="181"/>
    </row>
    <row r="41" spans="2:14" ht="22.5" customHeight="1" x14ac:dyDescent="0.25">
      <c r="D41" s="117"/>
      <c r="E41" s="183"/>
      <c r="F41" s="181"/>
    </row>
    <row r="42" spans="2:14" ht="22.5" customHeight="1" x14ac:dyDescent="0.25">
      <c r="D42" s="117"/>
      <c r="E42" s="183"/>
      <c r="F42" s="181"/>
    </row>
    <row r="43" spans="2:14" ht="22.5" customHeight="1" x14ac:dyDescent="0.25">
      <c r="D43" s="117"/>
      <c r="E43" s="183"/>
      <c r="F43" s="181"/>
    </row>
    <row r="44" spans="2:14" ht="22.5" customHeight="1" x14ac:dyDescent="0.25">
      <c r="D44" s="361"/>
      <c r="E44" s="361"/>
      <c r="F44" s="184"/>
    </row>
  </sheetData>
  <sheetProtection algorithmName="SHA-512" hashValue="BPM7tCxSPjFKon5jIUfLKOQpAF2kqhcElPzDya9xyr3rb2H995grl8UPe/romNt/rHDqy5K4TvK6qgBJiwhkRQ==" saltValue="z/2I2BVfsk6ZLW1B0wY5OQ==" spinCount="100000" sheet="1" objects="1" scenarios="1" selectLockedCells="1"/>
  <mergeCells count="30">
    <mergeCell ref="B21:N21"/>
    <mergeCell ref="B17:C17"/>
    <mergeCell ref="B2:N2"/>
    <mergeCell ref="H4:K4"/>
    <mergeCell ref="L4:M4"/>
    <mergeCell ref="H6:L7"/>
    <mergeCell ref="I8:J8"/>
    <mergeCell ref="K8:L8"/>
    <mergeCell ref="I9:J9"/>
    <mergeCell ref="K9:L9"/>
    <mergeCell ref="B19:N19"/>
    <mergeCell ref="D44:E44"/>
    <mergeCell ref="C37:D37"/>
    <mergeCell ref="B39:D39"/>
    <mergeCell ref="C27:D27"/>
    <mergeCell ref="C32:D32"/>
    <mergeCell ref="B28:D28"/>
    <mergeCell ref="C33:D33"/>
    <mergeCell ref="C34:D34"/>
    <mergeCell ref="C36:D36"/>
    <mergeCell ref="C38:D38"/>
    <mergeCell ref="C35:D35"/>
    <mergeCell ref="N23:N28"/>
    <mergeCell ref="C30:D30"/>
    <mergeCell ref="C31:D31"/>
    <mergeCell ref="C23:D23"/>
    <mergeCell ref="C24:D24"/>
    <mergeCell ref="C25:D25"/>
    <mergeCell ref="C26:D26"/>
    <mergeCell ref="N30:N39"/>
  </mergeCells>
  <conditionalFormatting sqref="D5:D16">
    <cfRule type="dataBar" priority="6">
      <dataBar>
        <cfvo type="min"/>
        <cfvo type="max"/>
        <color rgb="FF00B050"/>
      </dataBar>
      <extLst>
        <ext xmlns:x14="http://schemas.microsoft.com/office/spreadsheetml/2009/9/main" uri="{B025F937-C7B1-47D3-B67F-A62EFF666E3E}">
          <x14:id>{1007F409-6E42-425A-A59F-87CE2E4CA81E}</x14:id>
        </ext>
      </extLst>
    </cfRule>
  </conditionalFormatting>
  <conditionalFormatting sqref="E5:E16">
    <cfRule type="dataBar" priority="7">
      <dataBar>
        <cfvo type="min"/>
        <cfvo type="max"/>
        <color rgb="FFFF0000"/>
      </dataBar>
      <extLst>
        <ext xmlns:x14="http://schemas.microsoft.com/office/spreadsheetml/2009/9/main" uri="{B025F937-C7B1-47D3-B67F-A62EFF666E3E}">
          <x14:id>{673D7BEA-B7E5-4947-9FEA-4873864D4D6A}</x14:id>
        </ext>
      </extLst>
    </cfRule>
  </conditionalFormatting>
  <conditionalFormatting sqref="F5:F16">
    <cfRule type="colorScale" priority="8">
      <colorScale>
        <cfvo type="min"/>
        <cfvo type="num" val="0"/>
        <cfvo type="max"/>
        <color rgb="FFFF0000"/>
        <color rgb="FFFFFF00"/>
        <color rgb="FF00B050"/>
      </colorScale>
    </cfRule>
    <cfRule type="iconSet" priority="9">
      <iconSet iconSet="3Arrows">
        <cfvo type="percent" val="0"/>
        <cfvo type="num" val="0"/>
        <cfvo type="num" val="0" gte="0"/>
      </iconSet>
    </cfRule>
  </conditionalFormatting>
  <conditionalFormatting sqref="F17">
    <cfRule type="cellIs" dxfId="5" priority="10" operator="greaterThan">
      <formula>0</formula>
    </cfRule>
    <cfRule type="cellIs" dxfId="4" priority="11" operator="equal">
      <formula>0</formula>
    </cfRule>
    <cfRule type="cellIs" dxfId="3" priority="12" operator="lessThan">
      <formula>0</formula>
    </cfRule>
    <cfRule type="iconSet" priority="13">
      <iconSet iconSet="3Symbols2">
        <cfvo type="percent" val="0"/>
        <cfvo type="num" val="0"/>
        <cfvo type="num" val="0" gte="0"/>
      </iconSet>
    </cfRule>
  </conditionalFormatting>
  <conditionalFormatting sqref="E24:E27">
    <cfRule type="dataBar" priority="36">
      <dataBar>
        <cfvo type="min"/>
        <cfvo type="max"/>
        <color rgb="FF00B050"/>
      </dataBar>
      <extLst>
        <ext xmlns:x14="http://schemas.microsoft.com/office/spreadsheetml/2009/9/main" uri="{B025F937-C7B1-47D3-B67F-A62EFF666E3E}">
          <x14:id>{4A34C0F2-2FFD-4AA1-8D79-2D332C10F510}</x14:id>
        </ext>
      </extLst>
    </cfRule>
  </conditionalFormatting>
  <conditionalFormatting sqref="E31:E38">
    <cfRule type="dataBar" priority="39">
      <dataBar>
        <cfvo type="min"/>
        <cfvo type="max"/>
        <color rgb="FFFF0000"/>
      </dataBar>
      <extLst>
        <ext xmlns:x14="http://schemas.microsoft.com/office/spreadsheetml/2009/9/main" uri="{B025F937-C7B1-47D3-B67F-A62EFF666E3E}">
          <x14:id>{51EB0C32-4B17-41D1-860D-7836E750D157}</x14:id>
        </ext>
      </extLst>
    </cfRule>
  </conditionalFormatting>
  <dataValidations count="1">
    <dataValidation operator="greaterThan" allowBlank="1" showInputMessage="1" showErrorMessage="1" sqref="C5 C24 C31" xr:uid="{1256C68A-D728-4F08-8EAC-C191AA83FA15}"/>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dataBar" id="{1007F409-6E42-425A-A59F-87CE2E4CA81E}">
            <x14:dataBar minLength="0" maxLength="100" gradient="0">
              <x14:cfvo type="autoMin"/>
              <x14:cfvo type="autoMax"/>
              <x14:negativeFillColor rgb="FFFF0000"/>
              <x14:axisColor rgb="FF000000"/>
            </x14:dataBar>
          </x14:cfRule>
          <xm:sqref>D5:D16</xm:sqref>
        </x14:conditionalFormatting>
        <x14:conditionalFormatting xmlns:xm="http://schemas.microsoft.com/office/excel/2006/main">
          <x14:cfRule type="dataBar" id="{673D7BEA-B7E5-4947-9FEA-4873864D4D6A}">
            <x14:dataBar minLength="0" maxLength="100" gradient="0" direction="leftToRight">
              <x14:cfvo type="autoMin"/>
              <x14:cfvo type="autoMax"/>
              <x14:negativeFillColor rgb="FFFF0000"/>
              <x14:axisColor rgb="FF000000"/>
            </x14:dataBar>
          </x14:cfRule>
          <xm:sqref>E5:E16</xm:sqref>
        </x14:conditionalFormatting>
        <x14:conditionalFormatting xmlns:xm="http://schemas.microsoft.com/office/excel/2006/main">
          <x14:cfRule type="dataBar" id="{4A34C0F2-2FFD-4AA1-8D79-2D332C10F510}">
            <x14:dataBar minLength="0" maxLength="100" gradient="0">
              <x14:cfvo type="autoMin"/>
              <x14:cfvo type="autoMax"/>
              <x14:negativeFillColor rgb="FFFF0000"/>
              <x14:axisColor rgb="FF000000"/>
            </x14:dataBar>
          </x14:cfRule>
          <xm:sqref>E24:E27</xm:sqref>
        </x14:conditionalFormatting>
        <x14:conditionalFormatting xmlns:xm="http://schemas.microsoft.com/office/excel/2006/main">
          <x14:cfRule type="dataBar" id="{51EB0C32-4B17-41D1-860D-7836E750D157}">
            <x14:dataBar minLength="0" maxLength="100" gradient="0">
              <x14:cfvo type="autoMin"/>
              <x14:cfvo type="autoMax"/>
              <x14:negativeFillColor rgb="FFFF0000"/>
              <x14:axisColor rgb="FF000000"/>
            </x14:dataBar>
          </x14:cfRule>
          <xm:sqref>E31:E38</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errorTitle="سال مالی محدوده دارد!" error="لطفاً یک سال مابین سال‌های 1395 تا 1406 درج نمایید." xr:uid="{9DEBD216-BE3B-4303-9798-3F73CDB6C20A}">
          <x14:formula1>
            <xm:f>پارامترها!$H$2:$H$13</xm:f>
          </x14:formula1>
          <xm:sqref>L4:M4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993E-558B-415F-B99A-2C52377E8FB2}">
  <sheetPr codeName="Sheet6">
    <tabColor rgb="FF7030A0"/>
  </sheetPr>
  <dimension ref="A1:R5"/>
  <sheetViews>
    <sheetView showGridLines="0" rightToLeft="1" workbookViewId="0">
      <pane xSplit="3" ySplit="1" topLeftCell="D2" activePane="bottomRight" state="frozen"/>
      <selection activeCell="F5" sqref="F5"/>
      <selection pane="topRight" activeCell="F5" sqref="F5"/>
      <selection pane="bottomLeft" activeCell="F5" sqref="F5"/>
      <selection pane="bottomRight" activeCell="B2" sqref="B2"/>
    </sheetView>
  </sheetViews>
  <sheetFormatPr defaultColWidth="9" defaultRowHeight="24.95" customHeight="1" x14ac:dyDescent="0.25"/>
  <cols>
    <col min="1" max="1" width="5.7109375" style="63" customWidth="1"/>
    <col min="2" max="4" width="7.7109375" style="1" customWidth="1"/>
    <col min="5" max="5" width="12.7109375" style="1" customWidth="1"/>
    <col min="6" max="6" width="8.7109375" style="1" customWidth="1"/>
    <col min="7" max="7" width="15.7109375" style="41" customWidth="1"/>
    <col min="8" max="8" width="20.7109375" style="1" customWidth="1"/>
    <col min="9" max="10" width="15.7109375" style="64" customWidth="1"/>
    <col min="11" max="11" width="15.7109375" style="1" customWidth="1"/>
    <col min="12" max="12" width="20.7109375" style="1" customWidth="1"/>
    <col min="13" max="15" width="15.7109375" style="1" customWidth="1"/>
    <col min="16" max="17" width="20.7109375" style="1" customWidth="1"/>
    <col min="18" max="18" width="40.7109375" style="1" customWidth="1"/>
    <col min="19" max="16384" width="9" style="1"/>
  </cols>
  <sheetData>
    <row r="1" spans="1:18" ht="45.75" customHeight="1" thickTop="1" thickBot="1" x14ac:dyDescent="0.3">
      <c r="A1" s="69" t="s">
        <v>0</v>
      </c>
      <c r="B1" s="70" t="s">
        <v>1</v>
      </c>
      <c r="C1" s="70" t="s">
        <v>2</v>
      </c>
      <c r="D1" s="70" t="s">
        <v>3</v>
      </c>
      <c r="E1" s="70" t="s">
        <v>4</v>
      </c>
      <c r="F1" s="71" t="s">
        <v>13</v>
      </c>
      <c r="G1" s="72" t="s">
        <v>15</v>
      </c>
      <c r="H1" s="70" t="s">
        <v>5</v>
      </c>
      <c r="I1" s="73" t="s">
        <v>6</v>
      </c>
      <c r="J1" s="73" t="s">
        <v>7</v>
      </c>
      <c r="K1" s="71" t="s">
        <v>8</v>
      </c>
      <c r="L1" s="70" t="s">
        <v>9</v>
      </c>
      <c r="M1" s="71" t="s">
        <v>10</v>
      </c>
      <c r="N1" s="71" t="s">
        <v>11</v>
      </c>
      <c r="O1" s="71" t="s">
        <v>12</v>
      </c>
      <c r="P1" s="71" t="s">
        <v>157</v>
      </c>
      <c r="Q1" s="70" t="s">
        <v>158</v>
      </c>
      <c r="R1" s="74" t="s">
        <v>14</v>
      </c>
    </row>
    <row r="2" spans="1:18" ht="24.95" customHeight="1" thickTop="1" x14ac:dyDescent="0.25">
      <c r="A2" s="75">
        <f>ROW()-1</f>
        <v>1</v>
      </c>
      <c r="B2" s="227" t="s">
        <v>16</v>
      </c>
      <c r="C2" s="227">
        <v>101</v>
      </c>
      <c r="D2" s="151" t="s">
        <v>35</v>
      </c>
      <c r="E2" s="76" t="s">
        <v>17</v>
      </c>
      <c r="F2" s="77" t="s">
        <v>19</v>
      </c>
      <c r="G2" s="78" t="s">
        <v>35</v>
      </c>
      <c r="H2" s="79" t="s">
        <v>35</v>
      </c>
      <c r="I2" s="114" t="s">
        <v>35</v>
      </c>
      <c r="J2" s="114" t="s">
        <v>35</v>
      </c>
      <c r="K2" s="80" t="s">
        <v>35</v>
      </c>
      <c r="L2" s="81" t="s">
        <v>35</v>
      </c>
      <c r="M2" s="82" t="s">
        <v>35</v>
      </c>
      <c r="N2" s="82" t="s">
        <v>35</v>
      </c>
      <c r="O2" s="82" t="s">
        <v>35</v>
      </c>
      <c r="P2" s="99" t="s">
        <v>35</v>
      </c>
      <c r="Q2" s="83" t="s">
        <v>35</v>
      </c>
      <c r="R2" s="97" t="s">
        <v>35</v>
      </c>
    </row>
    <row r="3" spans="1:18" ht="24.95" customHeight="1" x14ac:dyDescent="0.25">
      <c r="A3" s="75">
        <f t="shared" ref="A3:A4" si="0">ROW()-1</f>
        <v>2</v>
      </c>
      <c r="B3" s="227" t="s">
        <v>109</v>
      </c>
      <c r="C3" s="228">
        <v>201</v>
      </c>
      <c r="D3" s="151" t="s">
        <v>35</v>
      </c>
      <c r="E3" s="76" t="s">
        <v>17</v>
      </c>
      <c r="F3" s="84" t="s">
        <v>19</v>
      </c>
      <c r="G3" s="78" t="s">
        <v>35</v>
      </c>
      <c r="H3" s="79" t="s">
        <v>35</v>
      </c>
      <c r="I3" s="80" t="s">
        <v>35</v>
      </c>
      <c r="J3" s="80" t="s">
        <v>35</v>
      </c>
      <c r="K3" s="80" t="s">
        <v>35</v>
      </c>
      <c r="L3" s="85" t="s">
        <v>35</v>
      </c>
      <c r="M3" s="86" t="s">
        <v>35</v>
      </c>
      <c r="N3" s="86" t="s">
        <v>35</v>
      </c>
      <c r="O3" s="86" t="s">
        <v>35</v>
      </c>
      <c r="P3" s="99" t="s">
        <v>35</v>
      </c>
      <c r="Q3" s="83" t="s">
        <v>35</v>
      </c>
      <c r="R3" s="97" t="s">
        <v>35</v>
      </c>
    </row>
    <row r="4" spans="1:18" ht="24.95" customHeight="1" thickBot="1" x14ac:dyDescent="0.3">
      <c r="A4" s="107">
        <f t="shared" si="0"/>
        <v>3</v>
      </c>
      <c r="B4" s="229" t="s">
        <v>110</v>
      </c>
      <c r="C4" s="229">
        <v>301</v>
      </c>
      <c r="D4" s="152" t="s">
        <v>35</v>
      </c>
      <c r="E4" s="113" t="s">
        <v>17</v>
      </c>
      <c r="F4" s="87" t="s">
        <v>19</v>
      </c>
      <c r="G4" s="88" t="s">
        <v>35</v>
      </c>
      <c r="H4" s="89" t="s">
        <v>35</v>
      </c>
      <c r="I4" s="115" t="s">
        <v>35</v>
      </c>
      <c r="J4" s="115" t="s">
        <v>35</v>
      </c>
      <c r="K4" s="90" t="s">
        <v>35</v>
      </c>
      <c r="L4" s="91" t="s">
        <v>35</v>
      </c>
      <c r="M4" s="92" t="s">
        <v>35</v>
      </c>
      <c r="N4" s="92" t="s">
        <v>35</v>
      </c>
      <c r="O4" s="92" t="s">
        <v>35</v>
      </c>
      <c r="P4" s="100" t="s">
        <v>35</v>
      </c>
      <c r="Q4" s="153" t="s">
        <v>35</v>
      </c>
      <c r="R4" s="98" t="s">
        <v>35</v>
      </c>
    </row>
    <row r="5" spans="1:18" ht="24.95" customHeight="1" thickTop="1" x14ac:dyDescent="0.25"/>
  </sheetData>
  <sheetProtection algorithmName="SHA-512" hashValue="8xmhD8ZgMJunaFxuCUQxIYq+yCKvsDFArntWGaYx0bk50DBcd86p98q3VDvEJ/xVet1JwjDICrBJDOTaYgbboQ==" saltValue="t6viq1p9djQfYbTyPT9Jdw==" spinCount="100000" sheet="1" objects="1" scenarios="1" selectLockedCells="1"/>
  <conditionalFormatting sqref="E2:E4">
    <cfRule type="containsText" dxfId="2" priority="1" operator="containsText" text="ساکن (مالک)">
      <formula>NOT(ISERROR(SEARCH("ساکن (مالک)",E2)))</formula>
    </cfRule>
    <cfRule type="containsText" dxfId="1" priority="2" operator="containsText" text="ساکن (مستأجر)">
      <formula>NOT(ISERROR(SEARCH("ساکن (مستأجر)",E2)))</formula>
    </cfRule>
  </conditionalFormatting>
  <conditionalFormatting sqref="F2:F4">
    <cfRule type="cellIs" dxfId="0" priority="3" operator="equal">
      <formula>"دارد"</formula>
    </cfRule>
  </conditionalFormatting>
  <dataValidations count="5">
    <dataValidation type="decimal" operator="greaterThanOrEqual" showInputMessage="1" showErrorMessage="1" errorTitle="خطا در ورود اطلاعات!" error="متراژ باید عددی نامنفی باشد." sqref="D2:D4" xr:uid="{769BD2FF-8E40-4AC7-B0A8-82AB8EB75B2D}">
      <formula1>0</formula1>
    </dataValidation>
    <dataValidation type="textLength" operator="equal" showInputMessage="1" showErrorMessage="1" errorTitle="خطا در ورود اطلاعات!" error="کدپستی، یک عدد 10 رقمی غیر اعشاری و مثبت است." sqref="G2:G4" xr:uid="{71F236EA-31CF-4183-93A9-91536F9C48BB}">
      <formula1>10</formula1>
    </dataValidation>
    <dataValidation type="textLength" operator="equal" showInputMessage="1" showErrorMessage="1" errorTitle="خطا در ورود اطلاعات!" error="شماره تلفن ثابت باید با درج پیش‌شماره و به‌صورت یک عدد 11 رقمی درج شود؛ مانند: 03523456789" sqref="M2:M4 I2:I4" xr:uid="{F44E7E87-0A0F-495B-8CB0-ABB42510F8E9}">
      <formula1>11</formula1>
    </dataValidation>
    <dataValidation type="textLength" operator="equal" showInputMessage="1" showErrorMessage="1" errorTitle="خطا در ورود اطلاعات!" error="شماره تلفن همراه باید به‌صورت یک عدد 11 رقمی درج شود؛ مانند: 09123456789" sqref="N2:O4 J2:K4" xr:uid="{15AC8D3B-A96A-4CED-9B3E-0C1EC7F2ABB3}">
      <formula1>11</formula1>
    </dataValidation>
    <dataValidation type="date" operator="greaterThanOrEqual" showInputMessage="1" showErrorMessage="1" errorTitle="خطای درج تاریخ!" error="تاریخ &quot;اتمام فعالیت&quot; باید از تاریخ &quot;شروع فعالیت&quot; بیشتر باشد." sqref="Q2:Q4" xr:uid="{0BE23A6F-E449-4E08-9DD1-AA938477C8BC}">
      <formula1>P2</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showInputMessage="1" showErrorMessage="1" errorTitle="خطا در ورود اطلاعات!" error="لطفاً یکی از گزینه‌های لیست شده را انتخاب نمایید." xr:uid="{39305D1D-A956-4385-947E-D00952DF9152}">
          <x14:formula1>
            <xm:f>پارامترها!$B$2:$B$4</xm:f>
          </x14:formula1>
          <xm:sqref>E2:E4</xm:sqref>
        </x14:dataValidation>
        <x14:dataValidation type="list" showInputMessage="1" showErrorMessage="1" errorTitle="خطا در ورود اطلاعات!" error="لطفاً یکی از گزینه‌های لیست شده را انتخاب نمایید." xr:uid="{175BE8D1-7BD4-4B55-861B-E667E6CD30CD}">
          <x14:formula1>
            <xm:f>پارامترها!$A$2:$A$6</xm:f>
          </x14:formula1>
          <xm:sqref>B2:B4</xm:sqref>
        </x14:dataValidation>
        <x14:dataValidation type="list" showInputMessage="1" showErrorMessage="1" errorTitle="خطا در ورود اطلاعات!" error="لطفاً یکی از گزینه‌های لیست شده را انتخاب نمایید." xr:uid="{93424F49-0D1C-471B-9D82-F993006B3FF7}">
          <x14:formula1>
            <xm:f>پارامترها!$C$2:$C$3</xm:f>
          </x14:formula1>
          <xm:sqref>F2:F4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3E171-B539-4A58-B662-749300A7B55F}">
  <sheetPr codeName="Sheet7">
    <tabColor theme="1"/>
  </sheetPr>
  <dimension ref="A1:H14"/>
  <sheetViews>
    <sheetView showGridLines="0" rightToLeft="1" workbookViewId="0">
      <selection activeCell="A2" sqref="A2"/>
    </sheetView>
  </sheetViews>
  <sheetFormatPr defaultColWidth="9" defaultRowHeight="22.5" x14ac:dyDescent="0.6"/>
  <cols>
    <col min="1" max="8" width="15.7109375" style="1" customWidth="1"/>
    <col min="9" max="16384" width="9" style="2"/>
  </cols>
  <sheetData>
    <row r="1" spans="1:8" ht="30.75" customHeight="1" thickTop="1" thickBot="1" x14ac:dyDescent="0.65">
      <c r="A1" s="3" t="s">
        <v>1</v>
      </c>
      <c r="B1" s="4" t="s">
        <v>4</v>
      </c>
      <c r="C1" s="15" t="s">
        <v>13</v>
      </c>
      <c r="D1" s="19" t="s">
        <v>36</v>
      </c>
      <c r="E1" s="19" t="s">
        <v>71</v>
      </c>
      <c r="F1" s="19" t="s">
        <v>72</v>
      </c>
      <c r="G1" s="19" t="s">
        <v>93</v>
      </c>
      <c r="H1" s="5" t="s">
        <v>94</v>
      </c>
    </row>
    <row r="2" spans="1:8" ht="23.25" thickTop="1" x14ac:dyDescent="0.6">
      <c r="A2" s="6" t="s">
        <v>16</v>
      </c>
      <c r="B2" s="7" t="s">
        <v>17</v>
      </c>
      <c r="C2" s="7" t="s">
        <v>18</v>
      </c>
      <c r="D2" s="20" t="s">
        <v>37</v>
      </c>
      <c r="E2" s="20" t="s">
        <v>73</v>
      </c>
      <c r="F2" s="20" t="s">
        <v>75</v>
      </c>
      <c r="G2" s="20" t="s">
        <v>53</v>
      </c>
      <c r="H2" s="8">
        <v>1395</v>
      </c>
    </row>
    <row r="3" spans="1:8" x14ac:dyDescent="0.6">
      <c r="A3" s="9" t="s">
        <v>109</v>
      </c>
      <c r="B3" s="10" t="s">
        <v>113</v>
      </c>
      <c r="C3" s="10" t="s">
        <v>19</v>
      </c>
      <c r="D3" s="21" t="s">
        <v>38</v>
      </c>
      <c r="E3" s="21" t="s">
        <v>74</v>
      </c>
      <c r="F3" s="21" t="s">
        <v>77</v>
      </c>
      <c r="G3" s="21" t="s">
        <v>54</v>
      </c>
      <c r="H3" s="11">
        <v>1396</v>
      </c>
    </row>
    <row r="4" spans="1:8" x14ac:dyDescent="0.6">
      <c r="A4" s="9" t="s">
        <v>110</v>
      </c>
      <c r="B4" s="10" t="s">
        <v>114</v>
      </c>
      <c r="C4" s="10"/>
      <c r="D4" s="21"/>
      <c r="E4" s="21" t="s">
        <v>116</v>
      </c>
      <c r="F4" s="52" t="s">
        <v>76</v>
      </c>
      <c r="G4" s="21" t="s">
        <v>55</v>
      </c>
      <c r="H4" s="11">
        <v>1397</v>
      </c>
    </row>
    <row r="5" spans="1:8" x14ac:dyDescent="0.6">
      <c r="A5" s="50" t="s">
        <v>111</v>
      </c>
      <c r="B5" s="51"/>
      <c r="C5" s="51"/>
      <c r="D5" s="52"/>
      <c r="E5" s="52" t="s">
        <v>81</v>
      </c>
      <c r="F5" s="52" t="s">
        <v>78</v>
      </c>
      <c r="G5" s="52" t="s">
        <v>56</v>
      </c>
      <c r="H5" s="53">
        <v>1398</v>
      </c>
    </row>
    <row r="6" spans="1:8" x14ac:dyDescent="0.6">
      <c r="A6" s="50" t="s">
        <v>112</v>
      </c>
      <c r="B6" s="51"/>
      <c r="C6" s="51"/>
      <c r="D6" s="52"/>
      <c r="E6" s="52" t="s">
        <v>83</v>
      </c>
      <c r="F6" s="52" t="s">
        <v>115</v>
      </c>
      <c r="G6" s="52" t="s">
        <v>57</v>
      </c>
      <c r="H6" s="53">
        <v>1399</v>
      </c>
    </row>
    <row r="7" spans="1:8" x14ac:dyDescent="0.6">
      <c r="A7" s="50"/>
      <c r="B7" s="51"/>
      <c r="C7" s="51"/>
      <c r="D7" s="52"/>
      <c r="E7" s="52"/>
      <c r="F7" s="52" t="s">
        <v>79</v>
      </c>
      <c r="G7" s="52" t="s">
        <v>58</v>
      </c>
      <c r="H7" s="53">
        <v>1400</v>
      </c>
    </row>
    <row r="8" spans="1:8" x14ac:dyDescent="0.6">
      <c r="A8" s="50"/>
      <c r="B8" s="51"/>
      <c r="C8" s="51"/>
      <c r="D8" s="52"/>
      <c r="E8" s="52"/>
      <c r="F8" s="52" t="s">
        <v>80</v>
      </c>
      <c r="G8" s="52" t="s">
        <v>59</v>
      </c>
      <c r="H8" s="53">
        <v>1401</v>
      </c>
    </row>
    <row r="9" spans="1:8" x14ac:dyDescent="0.6">
      <c r="A9" s="50"/>
      <c r="B9" s="51"/>
      <c r="C9" s="51"/>
      <c r="D9" s="52"/>
      <c r="E9" s="52"/>
      <c r="F9" s="52" t="s">
        <v>82</v>
      </c>
      <c r="G9" s="52" t="s">
        <v>60</v>
      </c>
      <c r="H9" s="53">
        <v>1402</v>
      </c>
    </row>
    <row r="10" spans="1:8" x14ac:dyDescent="0.6">
      <c r="A10" s="50"/>
      <c r="B10" s="51"/>
      <c r="C10" s="51"/>
      <c r="D10" s="52"/>
      <c r="E10" s="52"/>
      <c r="F10" s="52" t="s">
        <v>84</v>
      </c>
      <c r="G10" s="52" t="s">
        <v>61</v>
      </c>
      <c r="H10" s="53">
        <v>1403</v>
      </c>
    </row>
    <row r="11" spans="1:8" x14ac:dyDescent="0.6">
      <c r="A11" s="50"/>
      <c r="B11" s="51"/>
      <c r="C11" s="51"/>
      <c r="D11" s="52"/>
      <c r="E11" s="52"/>
      <c r="F11" s="52"/>
      <c r="G11" s="52" t="s">
        <v>62</v>
      </c>
      <c r="H11" s="53">
        <v>1404</v>
      </c>
    </row>
    <row r="12" spans="1:8" x14ac:dyDescent="0.6">
      <c r="A12" s="50"/>
      <c r="B12" s="51"/>
      <c r="C12" s="51"/>
      <c r="D12" s="52"/>
      <c r="E12" s="52"/>
      <c r="F12" s="52"/>
      <c r="G12" s="52" t="s">
        <v>63</v>
      </c>
      <c r="H12" s="53">
        <v>1405</v>
      </c>
    </row>
    <row r="13" spans="1:8" ht="23.25" thickBot="1" x14ac:dyDescent="0.65">
      <c r="A13" s="12"/>
      <c r="B13" s="13"/>
      <c r="C13" s="13"/>
      <c r="D13" s="22"/>
      <c r="E13" s="22"/>
      <c r="F13" s="13"/>
      <c r="G13" s="22" t="s">
        <v>64</v>
      </c>
      <c r="H13" s="14">
        <v>1406</v>
      </c>
    </row>
    <row r="14" spans="1:8" ht="23.25" thickTop="1" x14ac:dyDescent="0.6"/>
  </sheetData>
  <sheetProtection algorithmName="SHA-512" hashValue="aZCqj5VlQuT3Fm8IyNuqCfMTCqMllKfSWfe+e2Zl7HNdOqlMW35Nco8/FQckYZVvMaQArImInEr2wRDNXhd8PA==" saltValue="Qxu2K3fZlvlxAC0EVHK6oQ==" spinCount="100000" sheet="1" objects="1" scenarios="1" selectLockedCells="1"/>
  <pageMargins left="0.7" right="0.7" top="0.75" bottom="0.75" header="0.3" footer="0.3"/>
  <pageSetup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7701C-0157-4FBB-AC23-4CF7B97F6EDD}">
  <sheetPr codeName="Sheet8">
    <tabColor rgb="FFFF0066"/>
  </sheetPr>
  <dimension ref="B24:S33"/>
  <sheetViews>
    <sheetView showGridLines="0" rightToLeft="1" topLeftCell="A23" workbookViewId="0">
      <selection activeCell="F5" sqref="F5"/>
    </sheetView>
  </sheetViews>
  <sheetFormatPr defaultRowHeight="15" x14ac:dyDescent="0.25"/>
  <cols>
    <col min="1" max="1" width="9.140625" customWidth="1"/>
  </cols>
  <sheetData>
    <row r="24" spans="2:19" ht="15" customHeight="1" x14ac:dyDescent="0.25">
      <c r="B24" s="381" t="s">
        <v>144</v>
      </c>
      <c r="C24" s="381"/>
      <c r="D24" s="381"/>
      <c r="E24" s="381"/>
      <c r="F24" s="382" t="s">
        <v>145</v>
      </c>
      <c r="G24" s="382"/>
      <c r="H24" s="382"/>
      <c r="I24" s="382"/>
      <c r="J24" s="146"/>
      <c r="K24" s="146"/>
      <c r="L24" s="381" t="s">
        <v>146</v>
      </c>
      <c r="M24" s="381"/>
      <c r="N24" s="381"/>
      <c r="O24" s="381"/>
      <c r="P24" s="381" t="s">
        <v>153</v>
      </c>
      <c r="Q24" s="381"/>
      <c r="R24" s="381"/>
      <c r="S24" s="381"/>
    </row>
    <row r="25" spans="2:19" ht="15" customHeight="1" x14ac:dyDescent="0.25">
      <c r="B25" s="381"/>
      <c r="C25" s="381"/>
      <c r="D25" s="381"/>
      <c r="E25" s="381"/>
      <c r="F25" s="382"/>
      <c r="G25" s="382"/>
      <c r="H25" s="382"/>
      <c r="I25" s="382"/>
      <c r="J25" s="146"/>
      <c r="K25" s="146"/>
      <c r="L25" s="381"/>
      <c r="M25" s="381"/>
      <c r="N25" s="381"/>
      <c r="O25" s="381"/>
      <c r="P25" s="381"/>
      <c r="Q25" s="381"/>
      <c r="R25" s="381"/>
      <c r="S25" s="381"/>
    </row>
    <row r="26" spans="2:19" ht="15" customHeight="1" x14ac:dyDescent="0.25">
      <c r="B26" s="381"/>
      <c r="C26" s="381"/>
      <c r="D26" s="381"/>
      <c r="E26" s="381"/>
      <c r="F26" s="382"/>
      <c r="G26" s="382"/>
      <c r="H26" s="382"/>
      <c r="I26" s="382"/>
      <c r="J26" s="146"/>
      <c r="K26" s="146"/>
      <c r="L26" s="381"/>
      <c r="M26" s="381"/>
      <c r="N26" s="381"/>
      <c r="O26" s="381"/>
      <c r="P26" s="381"/>
      <c r="Q26" s="381"/>
      <c r="R26" s="381"/>
      <c r="S26" s="381"/>
    </row>
    <row r="28" spans="2:19" ht="15" customHeight="1" x14ac:dyDescent="0.25">
      <c r="B28" s="380" t="s">
        <v>147</v>
      </c>
      <c r="C28" s="380"/>
      <c r="D28" s="380"/>
      <c r="E28" s="380"/>
      <c r="F28" s="380"/>
      <c r="G28" s="380"/>
      <c r="H28" s="380"/>
      <c r="I28" s="380"/>
      <c r="J28" s="380"/>
      <c r="K28" s="380"/>
      <c r="L28" s="380"/>
      <c r="M28" s="380"/>
      <c r="N28" s="380"/>
      <c r="O28" s="380"/>
      <c r="P28" s="380"/>
      <c r="Q28" s="380"/>
      <c r="R28" s="380"/>
      <c r="S28" s="380"/>
    </row>
    <row r="29" spans="2:19" ht="15" customHeight="1" x14ac:dyDescent="0.25">
      <c r="B29" s="380"/>
      <c r="C29" s="380"/>
      <c r="D29" s="380"/>
      <c r="E29" s="380"/>
      <c r="F29" s="380"/>
      <c r="G29" s="380"/>
      <c r="H29" s="380"/>
      <c r="I29" s="380"/>
      <c r="J29" s="380"/>
      <c r="K29" s="380"/>
      <c r="L29" s="380"/>
      <c r="M29" s="380"/>
      <c r="N29" s="380"/>
      <c r="O29" s="380"/>
      <c r="P29" s="380"/>
      <c r="Q29" s="380"/>
      <c r="R29" s="380"/>
      <c r="S29" s="380"/>
    </row>
    <row r="30" spans="2:19" ht="15" customHeight="1" x14ac:dyDescent="0.25">
      <c r="B30" s="380"/>
      <c r="C30" s="380"/>
      <c r="D30" s="380"/>
      <c r="E30" s="380"/>
      <c r="F30" s="380"/>
      <c r="G30" s="380"/>
      <c r="H30" s="380"/>
      <c r="I30" s="380"/>
      <c r="J30" s="380"/>
      <c r="K30" s="380"/>
      <c r="L30" s="380"/>
      <c r="M30" s="380"/>
      <c r="N30" s="380"/>
      <c r="O30" s="380"/>
      <c r="P30" s="380"/>
      <c r="Q30" s="380"/>
      <c r="R30" s="380"/>
      <c r="S30" s="380"/>
    </row>
    <row r="31" spans="2:19" ht="15" customHeight="1" x14ac:dyDescent="0.25">
      <c r="C31" s="147"/>
      <c r="D31" s="147"/>
      <c r="E31" s="147"/>
      <c r="F31" s="147"/>
      <c r="G31" s="147"/>
    </row>
    <row r="32" spans="2:19" ht="15" customHeight="1" x14ac:dyDescent="0.5">
      <c r="C32" s="379" t="s">
        <v>148</v>
      </c>
      <c r="D32" s="379"/>
      <c r="E32" s="379"/>
      <c r="F32" s="379"/>
      <c r="G32" s="379"/>
      <c r="H32" s="148"/>
      <c r="I32" s="379" t="s">
        <v>150</v>
      </c>
      <c r="J32" s="379"/>
      <c r="K32" s="379"/>
      <c r="L32" s="379"/>
      <c r="M32" s="379"/>
      <c r="N32" s="148"/>
      <c r="O32" s="379" t="s">
        <v>149</v>
      </c>
      <c r="P32" s="379"/>
      <c r="Q32" s="379"/>
      <c r="R32" s="379"/>
      <c r="S32" s="379"/>
    </row>
    <row r="33" spans="3:19" ht="20.25" x14ac:dyDescent="0.5">
      <c r="C33" s="379"/>
      <c r="D33" s="379"/>
      <c r="E33" s="379"/>
      <c r="F33" s="379"/>
      <c r="G33" s="379"/>
      <c r="H33" s="148"/>
      <c r="I33" s="379"/>
      <c r="J33" s="379"/>
      <c r="K33" s="379"/>
      <c r="L33" s="379"/>
      <c r="M33" s="379"/>
      <c r="N33" s="148"/>
      <c r="O33" s="379"/>
      <c r="P33" s="379"/>
      <c r="Q33" s="379"/>
      <c r="R33" s="379"/>
      <c r="S33" s="379"/>
    </row>
  </sheetData>
  <sheetProtection algorithmName="SHA-512" hashValue="KBLaZOMfkaGyP7rgiw382PAkFqpaYGtVjJoBTbXqwbrTFQF9j3NClkHxM7Gu0ga41cOv2qglvIpMMCLDjVgFyA==" saltValue="HGDeaOBlDpDb2Bv7SQrDBg==" spinCount="100000" sheet="1" objects="1" scenarios="1" selectLockedCells="1"/>
  <mergeCells count="8">
    <mergeCell ref="I32:M33"/>
    <mergeCell ref="O32:S33"/>
    <mergeCell ref="C32:G33"/>
    <mergeCell ref="B28:S30"/>
    <mergeCell ref="B24:E26"/>
    <mergeCell ref="F24:I26"/>
    <mergeCell ref="L24:O26"/>
    <mergeCell ref="P24:S26"/>
  </mergeCells>
  <pageMargins left="0.7" right="0.7" top="0.75" bottom="0.75" header="0.3" footer="0.3"/>
  <pageSetup orientation="portrait"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مدیریت</vt:lpstr>
      <vt:lpstr>واریزی‌ها</vt:lpstr>
      <vt:lpstr>هزینه‌ها</vt:lpstr>
      <vt:lpstr>آب‌بها</vt:lpstr>
      <vt:lpstr>عملکرد سالانه</vt:lpstr>
      <vt:lpstr>مشخصات واحدها</vt:lpstr>
      <vt:lpstr>پارامترها</vt:lpstr>
      <vt:lpstr>درباره‌ی ما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RayaPardazesh</dc:creator>
  <cp:lastModifiedBy>RayaPardazesh</cp:lastModifiedBy>
  <cp:lastPrinted>2021-07-15T14:00:59Z</cp:lastPrinted>
  <dcterms:created xsi:type="dcterms:W3CDTF">2021-06-22T16:48:20Z</dcterms:created>
  <dcterms:modified xsi:type="dcterms:W3CDTF">2021-11-04T14:31:29Z</dcterms:modified>
  <cp:contentStatus/>
</cp:coreProperties>
</file>